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UK-Economist\Documents\Калькуляции\"/>
    </mc:Choice>
  </mc:AlternateContent>
  <bookViews>
    <workbookView xWindow="0" yWindow="0" windowWidth="23040" windowHeight="7752"/>
  </bookViews>
  <sheets>
    <sheet name="Лист1" sheetId="1" r:id="rId1"/>
  </sheets>
  <externalReferences>
    <externalReference r:id="rId2"/>
  </externalReferences>
  <definedNames>
    <definedName name="_xlnm.Print_Titles" localSheetId="0">Лист1!$10:$10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" l="1"/>
  <c r="J137" i="1"/>
  <c r="J124" i="1"/>
  <c r="J61" i="1"/>
  <c r="I155" i="1"/>
  <c r="J155" i="1" s="1"/>
  <c r="I153" i="1"/>
  <c r="J153" i="1" s="1"/>
  <c r="I148" i="1"/>
  <c r="I146" i="1"/>
  <c r="J146" i="1" s="1"/>
  <c r="I141" i="1"/>
  <c r="J141" i="1" s="1"/>
  <c r="I137" i="1"/>
  <c r="I134" i="1"/>
  <c r="J134" i="1" s="1"/>
  <c r="I132" i="1"/>
  <c r="J132" i="1" s="1"/>
  <c r="I124" i="1"/>
  <c r="I122" i="1"/>
  <c r="J122" i="1" s="1"/>
  <c r="I86" i="1"/>
  <c r="J86" i="1" s="1"/>
  <c r="I69" i="1"/>
  <c r="J69" i="1" s="1"/>
  <c r="I65" i="1"/>
  <c r="J65" i="1" s="1"/>
  <c r="I61" i="1"/>
  <c r="I58" i="1"/>
  <c r="J58" i="1" s="1"/>
  <c r="I56" i="1"/>
  <c r="J56" i="1" s="1"/>
  <c r="I45" i="1"/>
  <c r="J45" i="1" s="1"/>
  <c r="H35" i="1"/>
  <c r="I35" i="1" s="1"/>
  <c r="J35" i="1" s="1"/>
  <c r="H36" i="1"/>
  <c r="I36" i="1" s="1"/>
  <c r="J36" i="1" s="1"/>
  <c r="H43" i="1"/>
  <c r="I43" i="1" s="1"/>
  <c r="J43" i="1" s="1"/>
  <c r="H44" i="1"/>
  <c r="I44" i="1" s="1"/>
  <c r="J44" i="1" s="1"/>
  <c r="H45" i="1"/>
  <c r="H53" i="1"/>
  <c r="I53" i="1" s="1"/>
  <c r="J53" i="1" s="1"/>
  <c r="H54" i="1"/>
  <c r="I54" i="1" s="1"/>
  <c r="J54" i="1" s="1"/>
  <c r="H56" i="1"/>
  <c r="H57" i="1"/>
  <c r="H58" i="1"/>
  <c r="H59" i="1"/>
  <c r="I59" i="1" s="1"/>
  <c r="J59" i="1" s="1"/>
  <c r="H61" i="1"/>
  <c r="H62" i="1"/>
  <c r="I62" i="1" s="1"/>
  <c r="J62" i="1" s="1"/>
  <c r="H65" i="1"/>
  <c r="H68" i="1"/>
  <c r="I68" i="1" s="1"/>
  <c r="J68" i="1" s="1"/>
  <c r="H69" i="1"/>
  <c r="H73" i="1"/>
  <c r="I73" i="1" s="1"/>
  <c r="J73" i="1" s="1"/>
  <c r="H85" i="1"/>
  <c r="I85" i="1" s="1"/>
  <c r="J85" i="1" s="1"/>
  <c r="H86" i="1"/>
  <c r="H121" i="1"/>
  <c r="I121" i="1" s="1"/>
  <c r="J121" i="1" s="1"/>
  <c r="H122" i="1"/>
  <c r="H123" i="1"/>
  <c r="I123" i="1" s="1"/>
  <c r="J123" i="1" s="1"/>
  <c r="H124" i="1"/>
  <c r="H125" i="1"/>
  <c r="I125" i="1" s="1"/>
  <c r="J125" i="1" s="1"/>
  <c r="H127" i="1"/>
  <c r="I127" i="1" s="1"/>
  <c r="J127" i="1" s="1"/>
  <c r="H128" i="1"/>
  <c r="I128" i="1" s="1"/>
  <c r="J128" i="1" s="1"/>
  <c r="H132" i="1"/>
  <c r="H133" i="1"/>
  <c r="I133" i="1" s="1"/>
  <c r="J133" i="1" s="1"/>
  <c r="H134" i="1"/>
  <c r="H136" i="1"/>
  <c r="H137" i="1"/>
  <c r="H138" i="1"/>
  <c r="I138" i="1" s="1"/>
  <c r="J138" i="1" s="1"/>
  <c r="H139" i="1"/>
  <c r="I139" i="1" s="1"/>
  <c r="J139" i="1" s="1"/>
  <c r="H140" i="1"/>
  <c r="I140" i="1" s="1"/>
  <c r="J140" i="1" s="1"/>
  <c r="H141" i="1"/>
  <c r="H142" i="1"/>
  <c r="H146" i="1"/>
  <c r="H147" i="1"/>
  <c r="I147" i="1" s="1"/>
  <c r="J147" i="1" s="1"/>
  <c r="H148" i="1"/>
  <c r="H149" i="1"/>
  <c r="I149" i="1" s="1"/>
  <c r="J149" i="1" s="1"/>
  <c r="H152" i="1"/>
  <c r="H153" i="1"/>
  <c r="H154" i="1"/>
  <c r="I154" i="1" s="1"/>
  <c r="J154" i="1" s="1"/>
  <c r="H155" i="1"/>
  <c r="H156" i="1"/>
  <c r="I156" i="1" s="1"/>
  <c r="J156" i="1" s="1"/>
  <c r="G152" i="1"/>
  <c r="I152" i="1" s="1"/>
  <c r="J152" i="1" s="1"/>
  <c r="G151" i="1"/>
  <c r="E151" i="1"/>
  <c r="D151" i="1"/>
  <c r="F149" i="1"/>
  <c r="E149" i="1" s="1"/>
  <c r="C149" i="1"/>
  <c r="B149" i="1"/>
  <c r="F148" i="1"/>
  <c r="E148" i="1" s="1"/>
  <c r="C148" i="1"/>
  <c r="B148" i="1"/>
  <c r="C147" i="1"/>
  <c r="E146" i="1"/>
  <c r="D146" i="1" s="1"/>
  <c r="C146" i="1"/>
  <c r="F145" i="1"/>
  <c r="G145" i="1" s="1"/>
  <c r="C145" i="1"/>
  <c r="B145" i="1"/>
  <c r="F144" i="1"/>
  <c r="G144" i="1" s="1"/>
  <c r="H144" i="1" s="1"/>
  <c r="I144" i="1" s="1"/>
  <c r="J144" i="1" s="1"/>
  <c r="C144" i="1"/>
  <c r="B144" i="1"/>
  <c r="F143" i="1"/>
  <c r="G143" i="1" s="1"/>
  <c r="C143" i="1"/>
  <c r="B143" i="1"/>
  <c r="G142" i="1"/>
  <c r="I142" i="1" s="1"/>
  <c r="J142" i="1" s="1"/>
  <c r="F142" i="1"/>
  <c r="E142" i="1" s="1"/>
  <c r="D142" i="1" s="1"/>
  <c r="C142" i="1"/>
  <c r="B142" i="1"/>
  <c r="F138" i="1"/>
  <c r="E138" i="1" s="1"/>
  <c r="F137" i="1"/>
  <c r="E137" i="1" s="1"/>
  <c r="D137" i="1" s="1"/>
  <c r="G136" i="1"/>
  <c r="I136" i="1" s="1"/>
  <c r="J136" i="1" s="1"/>
  <c r="E136" i="1"/>
  <c r="D136" i="1" s="1"/>
  <c r="F135" i="1"/>
  <c r="E135" i="1" s="1"/>
  <c r="C135" i="1"/>
  <c r="F134" i="1"/>
  <c r="E134" i="1" s="1"/>
  <c r="D134" i="1" s="1"/>
  <c r="C134" i="1"/>
  <c r="F133" i="1"/>
  <c r="E133" i="1" s="1"/>
  <c r="D133" i="1" s="1"/>
  <c r="C133" i="1"/>
  <c r="B133" i="1"/>
  <c r="F132" i="1"/>
  <c r="E132" i="1" s="1"/>
  <c r="D132" i="1" s="1"/>
  <c r="C132" i="1"/>
  <c r="B132" i="1"/>
  <c r="F129" i="1"/>
  <c r="G129" i="1" s="1"/>
  <c r="C129" i="1"/>
  <c r="F127" i="1"/>
  <c r="E127" i="1" s="1"/>
  <c r="C127" i="1"/>
  <c r="F126" i="1"/>
  <c r="E126" i="1" s="1"/>
  <c r="C126" i="1"/>
  <c r="F121" i="1"/>
  <c r="E121" i="1" s="1"/>
  <c r="D121" i="1" s="1"/>
  <c r="C121" i="1"/>
  <c r="F119" i="1"/>
  <c r="E119" i="1" s="1"/>
  <c r="D119" i="1" s="1"/>
  <c r="C119" i="1"/>
  <c r="B119" i="1"/>
  <c r="F118" i="1"/>
  <c r="G118" i="1" s="1"/>
  <c r="H118" i="1" s="1"/>
  <c r="C118" i="1"/>
  <c r="B118" i="1"/>
  <c r="F117" i="1"/>
  <c r="G117" i="1" s="1"/>
  <c r="H117" i="1" s="1"/>
  <c r="I117" i="1" s="1"/>
  <c r="J117" i="1" s="1"/>
  <c r="C117" i="1"/>
  <c r="B117" i="1"/>
  <c r="F116" i="1"/>
  <c r="E116" i="1" s="1"/>
  <c r="D116" i="1" s="1"/>
  <c r="B116" i="1"/>
  <c r="F115" i="1"/>
  <c r="G115" i="1" s="1"/>
  <c r="H115" i="1" s="1"/>
  <c r="C115" i="1"/>
  <c r="B115" i="1"/>
  <c r="F114" i="1"/>
  <c r="E114" i="1" s="1"/>
  <c r="C114" i="1"/>
  <c r="B114" i="1"/>
  <c r="F113" i="1"/>
  <c r="G113" i="1" s="1"/>
  <c r="C113" i="1"/>
  <c r="B113" i="1"/>
  <c r="F112" i="1"/>
  <c r="E112" i="1" s="1"/>
  <c r="D112" i="1" s="1"/>
  <c r="B112" i="1"/>
  <c r="F111" i="1"/>
  <c r="G111" i="1" s="1"/>
  <c r="H111" i="1" s="1"/>
  <c r="B111" i="1"/>
  <c r="F110" i="1"/>
  <c r="G110" i="1" s="1"/>
  <c r="B110" i="1"/>
  <c r="F109" i="1"/>
  <c r="E109" i="1" s="1"/>
  <c r="B109" i="1"/>
  <c r="F108" i="1"/>
  <c r="E108" i="1" s="1"/>
  <c r="D108" i="1" s="1"/>
  <c r="B108" i="1"/>
  <c r="F107" i="1"/>
  <c r="E107" i="1" s="1"/>
  <c r="D107" i="1" s="1"/>
  <c r="B107" i="1"/>
  <c r="F106" i="1"/>
  <c r="G106" i="1" s="1"/>
  <c r="H106" i="1" s="1"/>
  <c r="B106" i="1"/>
  <c r="F105" i="1"/>
  <c r="E105" i="1" s="1"/>
  <c r="B105" i="1"/>
  <c r="F104" i="1"/>
  <c r="E104" i="1" s="1"/>
  <c r="D104" i="1" s="1"/>
  <c r="B104" i="1"/>
  <c r="F103" i="1"/>
  <c r="E103" i="1" s="1"/>
  <c r="D103" i="1" s="1"/>
  <c r="B103" i="1"/>
  <c r="F102" i="1"/>
  <c r="G102" i="1" s="1"/>
  <c r="H102" i="1" s="1"/>
  <c r="B102" i="1"/>
  <c r="F101" i="1"/>
  <c r="E101" i="1" s="1"/>
  <c r="B101" i="1"/>
  <c r="F100" i="1"/>
  <c r="G100" i="1" s="1"/>
  <c r="B100" i="1"/>
  <c r="F99" i="1"/>
  <c r="B99" i="1"/>
  <c r="F98" i="1"/>
  <c r="G98" i="1" s="1"/>
  <c r="B98" i="1"/>
  <c r="F97" i="1"/>
  <c r="E97" i="1" s="1"/>
  <c r="B97" i="1"/>
  <c r="F96" i="1"/>
  <c r="E96" i="1" s="1"/>
  <c r="B96" i="1"/>
  <c r="F95" i="1"/>
  <c r="G95" i="1" s="1"/>
  <c r="H95" i="1" s="1"/>
  <c r="I95" i="1" s="1"/>
  <c r="J95" i="1" s="1"/>
  <c r="B95" i="1"/>
  <c r="F94" i="1"/>
  <c r="E94" i="1" s="1"/>
  <c r="B94" i="1"/>
  <c r="F93" i="1"/>
  <c r="E93" i="1" s="1"/>
  <c r="B93" i="1"/>
  <c r="F92" i="1"/>
  <c r="G92" i="1" s="1"/>
  <c r="H92" i="1" s="1"/>
  <c r="I92" i="1" s="1"/>
  <c r="J92" i="1" s="1"/>
  <c r="B92" i="1"/>
  <c r="F91" i="1"/>
  <c r="G91" i="1" s="1"/>
  <c r="H91" i="1" s="1"/>
  <c r="I91" i="1" s="1"/>
  <c r="J91" i="1" s="1"/>
  <c r="E91" i="1"/>
  <c r="D91" i="1" s="1"/>
  <c r="B91" i="1"/>
  <c r="F90" i="1"/>
  <c r="E90" i="1" s="1"/>
  <c r="B90" i="1"/>
  <c r="F89" i="1"/>
  <c r="E89" i="1" s="1"/>
  <c r="B89" i="1"/>
  <c r="F88" i="1"/>
  <c r="G88" i="1" s="1"/>
  <c r="B88" i="1"/>
  <c r="G87" i="1"/>
  <c r="H87" i="1" s="1"/>
  <c r="I87" i="1" s="1"/>
  <c r="J87" i="1" s="1"/>
  <c r="F84" i="1"/>
  <c r="E84" i="1"/>
  <c r="C84" i="1"/>
  <c r="F83" i="1"/>
  <c r="G83" i="1" s="1"/>
  <c r="H83" i="1" s="1"/>
  <c r="I83" i="1" s="1"/>
  <c r="J83" i="1" s="1"/>
  <c r="C83" i="1"/>
  <c r="B83" i="1"/>
  <c r="A83" i="1"/>
  <c r="F82" i="1"/>
  <c r="G82" i="1" s="1"/>
  <c r="B82" i="1"/>
  <c r="A82" i="1"/>
  <c r="F81" i="1"/>
  <c r="G81" i="1" s="1"/>
  <c r="B81" i="1"/>
  <c r="A81" i="1"/>
  <c r="F80" i="1"/>
  <c r="G80" i="1" s="1"/>
  <c r="C80" i="1"/>
  <c r="B80" i="1"/>
  <c r="A80" i="1"/>
  <c r="F79" i="1"/>
  <c r="E79" i="1" s="1"/>
  <c r="D79" i="1" s="1"/>
  <c r="C79" i="1"/>
  <c r="B79" i="1"/>
  <c r="A79" i="1"/>
  <c r="F78" i="1"/>
  <c r="G78" i="1" s="1"/>
  <c r="H78" i="1" s="1"/>
  <c r="C78" i="1"/>
  <c r="B78" i="1"/>
  <c r="A78" i="1"/>
  <c r="F77" i="1"/>
  <c r="E77" i="1" s="1"/>
  <c r="C77" i="1"/>
  <c r="B77" i="1"/>
  <c r="A77" i="1"/>
  <c r="F76" i="1"/>
  <c r="E76" i="1" s="1"/>
  <c r="B76" i="1"/>
  <c r="A76" i="1"/>
  <c r="G75" i="1"/>
  <c r="H75" i="1" s="1"/>
  <c r="I75" i="1" s="1"/>
  <c r="J75" i="1" s="1"/>
  <c r="A75" i="1"/>
  <c r="G74" i="1"/>
  <c r="G72" i="1"/>
  <c r="H72" i="1" s="1"/>
  <c r="G71" i="1"/>
  <c r="H71" i="1" s="1"/>
  <c r="F70" i="1"/>
  <c r="E70" i="1" s="1"/>
  <c r="C70" i="1"/>
  <c r="B70" i="1"/>
  <c r="F68" i="1"/>
  <c r="B68" i="1"/>
  <c r="F67" i="1"/>
  <c r="G67" i="1" s="1"/>
  <c r="B67" i="1"/>
  <c r="F66" i="1"/>
  <c r="G66" i="1" s="1"/>
  <c r="H66" i="1" s="1"/>
  <c r="B66" i="1"/>
  <c r="F64" i="1"/>
  <c r="G64" i="1" s="1"/>
  <c r="F63" i="1"/>
  <c r="E63" i="1" s="1"/>
  <c r="F61" i="1"/>
  <c r="D61" i="1" s="1"/>
  <c r="E61" i="1"/>
  <c r="F60" i="1"/>
  <c r="G60" i="1" s="1"/>
  <c r="H60" i="1" s="1"/>
  <c r="I60" i="1" s="1"/>
  <c r="J60" i="1" s="1"/>
  <c r="B60" i="1"/>
  <c r="F58" i="1"/>
  <c r="E58" i="1" s="1"/>
  <c r="G57" i="1"/>
  <c r="I57" i="1" s="1"/>
  <c r="J57" i="1" s="1"/>
  <c r="E57" i="1"/>
  <c r="D57" i="1" s="1"/>
  <c r="G55" i="1"/>
  <c r="E55" i="1"/>
  <c r="D55" i="1" s="1"/>
  <c r="F53" i="1"/>
  <c r="E53" i="1" s="1"/>
  <c r="F52" i="1"/>
  <c r="G52" i="1" s="1"/>
  <c r="H52" i="1" s="1"/>
  <c r="I52" i="1" s="1"/>
  <c r="J52" i="1" s="1"/>
  <c r="B52" i="1"/>
  <c r="F51" i="1"/>
  <c r="G51" i="1" s="1"/>
  <c r="H51" i="1" s="1"/>
  <c r="I51" i="1" s="1"/>
  <c r="J51" i="1" s="1"/>
  <c r="B51" i="1"/>
  <c r="F50" i="1"/>
  <c r="G50" i="1" s="1"/>
  <c r="H50" i="1" s="1"/>
  <c r="B50" i="1"/>
  <c r="F49" i="1"/>
  <c r="G49" i="1" s="1"/>
  <c r="H49" i="1" s="1"/>
  <c r="B49" i="1"/>
  <c r="G48" i="1"/>
  <c r="H48" i="1" s="1"/>
  <c r="E48" i="1"/>
  <c r="D48" i="1" s="1"/>
  <c r="G47" i="1"/>
  <c r="H47" i="1" s="1"/>
  <c r="E47" i="1"/>
  <c r="D47" i="1" s="1"/>
  <c r="F46" i="1"/>
  <c r="G46" i="1" s="1"/>
  <c r="H46" i="1" s="1"/>
  <c r="C46" i="1"/>
  <c r="B46" i="1"/>
  <c r="F42" i="1"/>
  <c r="E42" i="1" s="1"/>
  <c r="F41" i="1"/>
  <c r="G41" i="1" s="1"/>
  <c r="H41" i="1" s="1"/>
  <c r="B41" i="1"/>
  <c r="F40" i="1"/>
  <c r="G40" i="1" s="1"/>
  <c r="B40" i="1"/>
  <c r="F39" i="1"/>
  <c r="G39" i="1" s="1"/>
  <c r="C39" i="1"/>
  <c r="B39" i="1"/>
  <c r="F38" i="1"/>
  <c r="E38" i="1" s="1"/>
  <c r="C38" i="1"/>
  <c r="B38" i="1"/>
  <c r="A37" i="1"/>
  <c r="F34" i="1"/>
  <c r="G34" i="1" s="1"/>
  <c r="H34" i="1" s="1"/>
  <c r="I34" i="1" s="1"/>
  <c r="J34" i="1" s="1"/>
  <c r="F33" i="1"/>
  <c r="E33" i="1" s="1"/>
  <c r="D33" i="1" s="1"/>
  <c r="B33" i="1"/>
  <c r="F32" i="1"/>
  <c r="G32" i="1" s="1"/>
  <c r="B32" i="1"/>
  <c r="F31" i="1"/>
  <c r="G31" i="1" s="1"/>
  <c r="B31" i="1"/>
  <c r="F30" i="1"/>
  <c r="G30" i="1" s="1"/>
  <c r="H30" i="1" s="1"/>
  <c r="I30" i="1" s="1"/>
  <c r="J30" i="1" s="1"/>
  <c r="B30" i="1"/>
  <c r="F29" i="1"/>
  <c r="E29" i="1" s="1"/>
  <c r="B29" i="1"/>
  <c r="F28" i="1"/>
  <c r="G28" i="1" s="1"/>
  <c r="H28" i="1" s="1"/>
  <c r="B28" i="1"/>
  <c r="F27" i="1"/>
  <c r="E27" i="1" s="1"/>
  <c r="B27" i="1"/>
  <c r="F26" i="1"/>
  <c r="E26" i="1" s="1"/>
  <c r="C26" i="1"/>
  <c r="B26" i="1"/>
  <c r="F25" i="1"/>
  <c r="G25" i="1" s="1"/>
  <c r="C25" i="1"/>
  <c r="F24" i="1"/>
  <c r="G24" i="1" s="1"/>
  <c r="H24" i="1" s="1"/>
  <c r="C24" i="1"/>
  <c r="B24" i="1"/>
  <c r="F23" i="1"/>
  <c r="G23" i="1" s="1"/>
  <c r="H23" i="1" s="1"/>
  <c r="I23" i="1" s="1"/>
  <c r="J23" i="1" s="1"/>
  <c r="C23" i="1"/>
  <c r="B23" i="1"/>
  <c r="F22" i="1"/>
  <c r="G22" i="1" s="1"/>
  <c r="H22" i="1" s="1"/>
  <c r="B22" i="1"/>
  <c r="F21" i="1"/>
  <c r="E21" i="1" s="1"/>
  <c r="B21" i="1"/>
  <c r="F20" i="1"/>
  <c r="G20" i="1" s="1"/>
  <c r="C20" i="1"/>
  <c r="B20" i="1"/>
  <c r="F19" i="1"/>
  <c r="E19" i="1" s="1"/>
  <c r="C19" i="1"/>
  <c r="B19" i="1"/>
  <c r="F18" i="1"/>
  <c r="G18" i="1" s="1"/>
  <c r="C18" i="1"/>
  <c r="B18" i="1"/>
  <c r="F17" i="1"/>
  <c r="G17" i="1" s="1"/>
  <c r="H17" i="1" s="1"/>
  <c r="B17" i="1"/>
  <c r="F16" i="1"/>
  <c r="G16" i="1" s="1"/>
  <c r="B16" i="1"/>
  <c r="F15" i="1"/>
  <c r="E15" i="1" s="1"/>
  <c r="D15" i="1" s="1"/>
  <c r="C15" i="1"/>
  <c r="B15" i="1"/>
  <c r="F14" i="1"/>
  <c r="G14" i="1" s="1"/>
  <c r="H14" i="1" s="1"/>
  <c r="I14" i="1" s="1"/>
  <c r="J14" i="1" s="1"/>
  <c r="C14" i="1"/>
  <c r="B14" i="1"/>
  <c r="B13" i="1"/>
  <c r="A13" i="1"/>
  <c r="A12" i="1"/>
  <c r="I151" i="1" l="1"/>
  <c r="J151" i="1" s="1"/>
  <c r="E143" i="1"/>
  <c r="D143" i="1" s="1"/>
  <c r="I47" i="1"/>
  <c r="J47" i="1" s="1"/>
  <c r="I71" i="1"/>
  <c r="J71" i="1" s="1"/>
  <c r="H64" i="1"/>
  <c r="I64" i="1" s="1"/>
  <c r="J64" i="1" s="1"/>
  <c r="H55" i="1"/>
  <c r="I55" i="1" s="1"/>
  <c r="J55" i="1" s="1"/>
  <c r="I48" i="1"/>
  <c r="J48" i="1" s="1"/>
  <c r="I72" i="1"/>
  <c r="J72" i="1" s="1"/>
  <c r="H151" i="1"/>
  <c r="H74" i="1"/>
  <c r="I74" i="1" s="1"/>
  <c r="J74" i="1" s="1"/>
  <c r="E66" i="1"/>
  <c r="D66" i="1" s="1"/>
  <c r="E78" i="1"/>
  <c r="D78" i="1" s="1"/>
  <c r="E92" i="1"/>
  <c r="E95" i="1"/>
  <c r="D95" i="1" s="1"/>
  <c r="G107" i="1"/>
  <c r="H107" i="1" s="1"/>
  <c r="E82" i="1"/>
  <c r="H82" i="1"/>
  <c r="I82" i="1" s="1"/>
  <c r="J82" i="1" s="1"/>
  <c r="E88" i="1"/>
  <c r="D88" i="1" s="1"/>
  <c r="G116" i="1"/>
  <c r="H116" i="1" s="1"/>
  <c r="I116" i="1" s="1"/>
  <c r="J116" i="1" s="1"/>
  <c r="H39" i="1"/>
  <c r="I39" i="1" s="1"/>
  <c r="J39" i="1" s="1"/>
  <c r="I41" i="1"/>
  <c r="J41" i="1" s="1"/>
  <c r="I24" i="1"/>
  <c r="J24" i="1" s="1"/>
  <c r="I66" i="1"/>
  <c r="J66" i="1" s="1"/>
  <c r="I115" i="1"/>
  <c r="J115" i="1" s="1"/>
  <c r="H32" i="1"/>
  <c r="I32" i="1" s="1"/>
  <c r="J32" i="1" s="1"/>
  <c r="I17" i="1"/>
  <c r="J17" i="1" s="1"/>
  <c r="I49" i="1"/>
  <c r="J49" i="1" s="1"/>
  <c r="I106" i="1"/>
  <c r="J106" i="1" s="1"/>
  <c r="I50" i="1"/>
  <c r="J50" i="1" s="1"/>
  <c r="E110" i="1"/>
  <c r="D110" i="1" s="1"/>
  <c r="E113" i="1"/>
  <c r="D113" i="1" s="1"/>
  <c r="G126" i="1"/>
  <c r="H126" i="1" s="1"/>
  <c r="H98" i="1"/>
  <c r="I98" i="1" s="1"/>
  <c r="J98" i="1" s="1"/>
  <c r="E100" i="1"/>
  <c r="D100" i="1" s="1"/>
  <c r="E145" i="1"/>
  <c r="D145" i="1" s="1"/>
  <c r="H25" i="1"/>
  <c r="I25" i="1" s="1"/>
  <c r="J25" i="1" s="1"/>
  <c r="H100" i="1"/>
  <c r="I100" i="1" s="1"/>
  <c r="J100" i="1" s="1"/>
  <c r="H113" i="1"/>
  <c r="I113" i="1" s="1"/>
  <c r="J113" i="1" s="1"/>
  <c r="H88" i="1"/>
  <c r="I88" i="1" s="1"/>
  <c r="J88" i="1" s="1"/>
  <c r="G104" i="1"/>
  <c r="E99" i="1"/>
  <c r="D99" i="1" s="1"/>
  <c r="G99" i="1"/>
  <c r="H20" i="1"/>
  <c r="I20" i="1" s="1"/>
  <c r="J20" i="1" s="1"/>
  <c r="H31" i="1"/>
  <c r="I31" i="1" s="1"/>
  <c r="J31" i="1" s="1"/>
  <c r="H145" i="1"/>
  <c r="I145" i="1" s="1"/>
  <c r="J145" i="1" s="1"/>
  <c r="H67" i="1"/>
  <c r="I67" i="1" s="1"/>
  <c r="J67" i="1" s="1"/>
  <c r="H40" i="1"/>
  <c r="I40" i="1" s="1"/>
  <c r="J40" i="1" s="1"/>
  <c r="H110" i="1"/>
  <c r="I110" i="1"/>
  <c r="J110" i="1" s="1"/>
  <c r="H143" i="1"/>
  <c r="I143" i="1" s="1"/>
  <c r="J143" i="1" s="1"/>
  <c r="H18" i="1"/>
  <c r="I18" i="1" s="1"/>
  <c r="J18" i="1" s="1"/>
  <c r="H129" i="1"/>
  <c r="I129" i="1" s="1"/>
  <c r="J129" i="1" s="1"/>
  <c r="D96" i="1"/>
  <c r="H81" i="1"/>
  <c r="I81" i="1" s="1"/>
  <c r="J81" i="1" s="1"/>
  <c r="H16" i="1"/>
  <c r="I16" i="1" s="1"/>
  <c r="J16" i="1" s="1"/>
  <c r="I22" i="1"/>
  <c r="J22" i="1" s="1"/>
  <c r="I126" i="1"/>
  <c r="J126" i="1" s="1"/>
  <c r="E16" i="1"/>
  <c r="D16" i="1" s="1"/>
  <c r="G96" i="1"/>
  <c r="G108" i="1"/>
  <c r="H80" i="1"/>
  <c r="I80" i="1" s="1"/>
  <c r="J80" i="1" s="1"/>
  <c r="I46" i="1"/>
  <c r="J46" i="1" s="1"/>
  <c r="I78" i="1"/>
  <c r="J78" i="1" s="1"/>
  <c r="I102" i="1"/>
  <c r="J102" i="1" s="1"/>
  <c r="I118" i="1"/>
  <c r="J118" i="1" s="1"/>
  <c r="D135" i="1"/>
  <c r="I111" i="1"/>
  <c r="J111" i="1" s="1"/>
  <c r="G103" i="1"/>
  <c r="G135" i="1"/>
  <c r="I28" i="1"/>
  <c r="J28" i="1" s="1"/>
  <c r="D38" i="1"/>
  <c r="G33" i="1"/>
  <c r="D82" i="1"/>
  <c r="D92" i="1"/>
  <c r="G119" i="1"/>
  <c r="G15" i="1"/>
  <c r="D19" i="1"/>
  <c r="G21" i="1"/>
  <c r="G27" i="1"/>
  <c r="G29" i="1"/>
  <c r="G79" i="1"/>
  <c r="D109" i="1"/>
  <c r="E117" i="1"/>
  <c r="D117" i="1" s="1"/>
  <c r="E129" i="1"/>
  <c r="D129" i="1" s="1"/>
  <c r="E51" i="1"/>
  <c r="D51" i="1" s="1"/>
  <c r="D84" i="1"/>
  <c r="E18" i="1"/>
  <c r="D18" i="1" s="1"/>
  <c r="E22" i="1"/>
  <c r="D22" i="1" s="1"/>
  <c r="E24" i="1"/>
  <c r="D24" i="1" s="1"/>
  <c r="G26" i="1"/>
  <c r="E28" i="1"/>
  <c r="D28" i="1" s="1"/>
  <c r="D89" i="1"/>
  <c r="D93" i="1"/>
  <c r="D97" i="1"/>
  <c r="D101" i="1"/>
  <c r="D105" i="1"/>
  <c r="D42" i="1"/>
  <c r="D63" i="1"/>
  <c r="D70" i="1"/>
  <c r="D77" i="1"/>
  <c r="G112" i="1"/>
  <c r="D127" i="1"/>
  <c r="D58" i="1"/>
  <c r="G63" i="1"/>
  <c r="G70" i="1"/>
  <c r="G77" i="1"/>
  <c r="E80" i="1"/>
  <c r="D80" i="1" s="1"/>
  <c r="E83" i="1"/>
  <c r="D83" i="1" s="1"/>
  <c r="E98" i="1"/>
  <c r="D98" i="1" s="1"/>
  <c r="E102" i="1"/>
  <c r="D102" i="1" s="1"/>
  <c r="E106" i="1"/>
  <c r="D106" i="1" s="1"/>
  <c r="D21" i="1"/>
  <c r="D27" i="1"/>
  <c r="D29" i="1"/>
  <c r="D76" i="1"/>
  <c r="D90" i="1"/>
  <c r="D94" i="1"/>
  <c r="D114" i="1"/>
  <c r="D53" i="1"/>
  <c r="E68" i="1"/>
  <c r="D68" i="1" s="1"/>
  <c r="G76" i="1"/>
  <c r="G90" i="1"/>
  <c r="G94" i="1"/>
  <c r="E111" i="1"/>
  <c r="D111" i="1" s="1"/>
  <c r="D138" i="1"/>
  <c r="E17" i="1"/>
  <c r="D17" i="1" s="1"/>
  <c r="G19" i="1"/>
  <c r="E23" i="1"/>
  <c r="D23" i="1" s="1"/>
  <c r="G38" i="1"/>
  <c r="G42" i="1"/>
  <c r="G84" i="1"/>
  <c r="G89" i="1"/>
  <c r="G93" i="1"/>
  <c r="G97" i="1"/>
  <c r="G101" i="1"/>
  <c r="G105" i="1"/>
  <c r="G109" i="1"/>
  <c r="G114" i="1"/>
  <c r="E32" i="1"/>
  <c r="D32" i="1" s="1"/>
  <c r="E41" i="1"/>
  <c r="D41" i="1" s="1"/>
  <c r="E50" i="1"/>
  <c r="D50" i="1" s="1"/>
  <c r="E64" i="1"/>
  <c r="D64" i="1" s="1"/>
  <c r="E81" i="1"/>
  <c r="D81" i="1" s="1"/>
  <c r="E118" i="1"/>
  <c r="D118" i="1" s="1"/>
  <c r="E144" i="1"/>
  <c r="D144" i="1" s="1"/>
  <c r="D149" i="1"/>
  <c r="D26" i="1"/>
  <c r="E31" i="1"/>
  <c r="D31" i="1" s="1"/>
  <c r="E40" i="1"/>
  <c r="D40" i="1" s="1"/>
  <c r="E49" i="1"/>
  <c r="D49" i="1" s="1"/>
  <c r="E60" i="1"/>
  <c r="D60" i="1" s="1"/>
  <c r="D126" i="1"/>
  <c r="D148" i="1"/>
  <c r="E14" i="1"/>
  <c r="D14" i="1" s="1"/>
  <c r="E20" i="1"/>
  <c r="D20" i="1" s="1"/>
  <c r="E25" i="1"/>
  <c r="D25" i="1" s="1"/>
  <c r="E30" i="1"/>
  <c r="D30" i="1" s="1"/>
  <c r="E34" i="1"/>
  <c r="D34" i="1" s="1"/>
  <c r="E39" i="1"/>
  <c r="D39" i="1" s="1"/>
  <c r="E46" i="1"/>
  <c r="D46" i="1" s="1"/>
  <c r="E52" i="1"/>
  <c r="D52" i="1" s="1"/>
  <c r="E67" i="1"/>
  <c r="D67" i="1" s="1"/>
  <c r="E115" i="1"/>
  <c r="D115" i="1" s="1"/>
  <c r="I63" i="1" l="1"/>
  <c r="J63" i="1" s="1"/>
  <c r="H63" i="1"/>
  <c r="I107" i="1"/>
  <c r="J107" i="1" s="1"/>
  <c r="H19" i="1"/>
  <c r="I19" i="1" s="1"/>
  <c r="J19" i="1" s="1"/>
  <c r="H104" i="1"/>
  <c r="I104" i="1" s="1"/>
  <c r="J104" i="1" s="1"/>
  <c r="H93" i="1"/>
  <c r="I93" i="1" s="1"/>
  <c r="J93" i="1" s="1"/>
  <c r="H15" i="1"/>
  <c r="I15" i="1"/>
  <c r="J15" i="1" s="1"/>
  <c r="H135" i="1"/>
  <c r="I135" i="1" s="1"/>
  <c r="J135" i="1" s="1"/>
  <c r="H108" i="1"/>
  <c r="I108" i="1" s="1"/>
  <c r="J108" i="1" s="1"/>
  <c r="H84" i="1"/>
  <c r="I84" i="1" s="1"/>
  <c r="J84" i="1" s="1"/>
  <c r="H94" i="1"/>
  <c r="I94" i="1" s="1"/>
  <c r="J94" i="1" s="1"/>
  <c r="H79" i="1"/>
  <c r="I79" i="1" s="1"/>
  <c r="J79" i="1" s="1"/>
  <c r="H89" i="1"/>
  <c r="I89" i="1" s="1"/>
  <c r="J89" i="1" s="1"/>
  <c r="H112" i="1"/>
  <c r="I112" i="1" s="1"/>
  <c r="J112" i="1" s="1"/>
  <c r="H109" i="1"/>
  <c r="I109" i="1" s="1"/>
  <c r="J109" i="1" s="1"/>
  <c r="H38" i="1"/>
  <c r="I38" i="1" s="1"/>
  <c r="J38" i="1" s="1"/>
  <c r="H90" i="1"/>
  <c r="I90" i="1" s="1"/>
  <c r="J90" i="1" s="1"/>
  <c r="H77" i="1"/>
  <c r="I77" i="1"/>
  <c r="J77" i="1" s="1"/>
  <c r="H29" i="1"/>
  <c r="I29" i="1" s="1"/>
  <c r="J29" i="1" s="1"/>
  <c r="H119" i="1"/>
  <c r="I119" i="1" s="1"/>
  <c r="J119" i="1" s="1"/>
  <c r="H96" i="1"/>
  <c r="I96" i="1" s="1"/>
  <c r="J96" i="1" s="1"/>
  <c r="H42" i="1"/>
  <c r="I42" i="1" s="1"/>
  <c r="J42" i="1" s="1"/>
  <c r="H105" i="1"/>
  <c r="I105" i="1" s="1"/>
  <c r="J105" i="1" s="1"/>
  <c r="H76" i="1"/>
  <c r="I76" i="1" s="1"/>
  <c r="J76" i="1" s="1"/>
  <c r="H70" i="1"/>
  <c r="I70" i="1" s="1"/>
  <c r="J70" i="1" s="1"/>
  <c r="H27" i="1"/>
  <c r="I27" i="1"/>
  <c r="J27" i="1" s="1"/>
  <c r="H33" i="1"/>
  <c r="I33" i="1" s="1"/>
  <c r="J33" i="1" s="1"/>
  <c r="H99" i="1"/>
  <c r="I99" i="1" s="1"/>
  <c r="J99" i="1" s="1"/>
  <c r="H97" i="1"/>
  <c r="I97" i="1" s="1"/>
  <c r="J97" i="1" s="1"/>
  <c r="H103" i="1"/>
  <c r="I103" i="1" s="1"/>
  <c r="J103" i="1" s="1"/>
  <c r="H114" i="1"/>
  <c r="I114" i="1" s="1"/>
  <c r="J114" i="1" s="1"/>
  <c r="H101" i="1"/>
  <c r="I101" i="1" s="1"/>
  <c r="J101" i="1" s="1"/>
  <c r="H26" i="1"/>
  <c r="I26" i="1" s="1"/>
  <c r="J26" i="1" s="1"/>
  <c r="H21" i="1"/>
  <c r="I21" i="1"/>
  <c r="J21" i="1" s="1"/>
</calcChain>
</file>

<file path=xl/comments1.xml><?xml version="1.0" encoding="utf-8"?>
<comments xmlns="http://schemas.openxmlformats.org/spreadsheetml/2006/main">
  <authors>
    <author>Татьяна</author>
  </authors>
  <commentList>
    <comment ref="B25" authorId="0" shapeId="0">
      <text>
        <r>
          <rPr>
            <b/>
            <sz val="8"/>
            <color indexed="81"/>
            <rFont val="Tahoma"/>
            <family val="2"/>
            <charset val="204"/>
          </rPr>
          <t>Татьяна: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33" authorId="0" shapeId="0">
      <text>
        <r>
          <rPr>
            <b/>
            <sz val="8"/>
            <color indexed="81"/>
            <rFont val="Tahoma"/>
            <family val="2"/>
            <charset val="204"/>
          </rPr>
          <t>Татьяна:</t>
        </r>
        <r>
          <rPr>
            <sz val="8"/>
            <color indexed="81"/>
            <rFont val="Tahoma"/>
            <family val="2"/>
            <charset val="204"/>
          </rPr>
          <t xml:space="preserve">
дорого</t>
        </r>
      </text>
    </comment>
    <comment ref="B136" authorId="0" shapeId="0">
      <text>
        <r>
          <rPr>
            <b/>
            <sz val="8"/>
            <color indexed="81"/>
            <rFont val="Tahoma"/>
            <family val="2"/>
            <charset val="204"/>
          </rPr>
          <t>Татьяна:</t>
        </r>
        <r>
          <rPr>
            <sz val="8"/>
            <color indexed="81"/>
            <rFont val="Tahoma"/>
            <family val="2"/>
            <charset val="204"/>
          </rPr>
          <t xml:space="preserve">
смена сгона с футоркой отопление - 500</t>
        </r>
      </text>
    </comment>
  </commentList>
</comments>
</file>

<file path=xl/sharedStrings.xml><?xml version="1.0" encoding="utf-8"?>
<sst xmlns="http://schemas.openxmlformats.org/spreadsheetml/2006/main" count="165" uniqueCount="84">
  <si>
    <t>ТАРИФЫ</t>
  </si>
  <si>
    <t>№№ пп</t>
  </si>
  <si>
    <t>Вид услуги</t>
  </si>
  <si>
    <t>Кол-во</t>
  </si>
  <si>
    <t>Стоимость услуг за единицу (руб)</t>
  </si>
  <si>
    <t>НДС (18%) (руб)</t>
  </si>
  <si>
    <t>шт.</t>
  </si>
  <si>
    <t>Смена подвеса со стеклом типа "Шар" или "Моцета"</t>
  </si>
  <si>
    <t>Установка распределительной коробки</t>
  </si>
  <si>
    <t>Замена автомата в электрощите</t>
  </si>
  <si>
    <t>Замена кнопки эл.звонка</t>
  </si>
  <si>
    <t xml:space="preserve">Смена смесителя в ванной </t>
  </si>
  <si>
    <t>Смена смесителя на кухне</t>
  </si>
  <si>
    <t>Смена подводки к смесителю</t>
  </si>
  <si>
    <t xml:space="preserve">шт </t>
  </si>
  <si>
    <t>Смена подводки  смесителя на кухне со снятием и установкой раковины или мойки</t>
  </si>
  <si>
    <t>шт</t>
  </si>
  <si>
    <t>Смена обвязки  под ванну (крепление ванны)</t>
  </si>
  <si>
    <t>1 комплект</t>
  </si>
  <si>
    <t>Смена выпуска под ванной</t>
  </si>
  <si>
    <t>Смена смывного бачка (демонтаж и установка)</t>
  </si>
  <si>
    <t>Ремонт арматуры смывного бачка унитаза</t>
  </si>
  <si>
    <t>Смена арматуры смывного бачка  без снятия</t>
  </si>
  <si>
    <t>Смена арматуры смывного бачка  со  снятием</t>
  </si>
  <si>
    <t>Смена поплавка смывного бачка</t>
  </si>
  <si>
    <t>Демонтаж унитаза напольного</t>
  </si>
  <si>
    <t>Сбор, установка унитаза напольного</t>
  </si>
  <si>
    <t>Замена соединительного  чугунного тройника в канализационной системе на пластиковый</t>
  </si>
  <si>
    <t xml:space="preserve">Смена соединительного  пластикого тройника в канализационной системе </t>
  </si>
  <si>
    <t>Смена соединительного уголка в канализационной системе</t>
  </si>
  <si>
    <t>Смена соединительной муфты в канализационной системе</t>
  </si>
  <si>
    <t>Смена шарового крана</t>
  </si>
  <si>
    <t>Прочистка фильтра прибора учета</t>
  </si>
  <si>
    <t>Прокладка труб (пропилен)</t>
  </si>
  <si>
    <t>пог.м</t>
  </si>
  <si>
    <t>Установка тройников, уголков, переходников (пропилен)</t>
  </si>
  <si>
    <t>Комплекс работ по замене унитиза импортного</t>
  </si>
  <si>
    <t>Установка крана (пропилен)</t>
  </si>
  <si>
    <r>
      <t>1 м</t>
    </r>
    <r>
      <rPr>
        <vertAlign val="superscript"/>
        <sz val="10"/>
        <rFont val="Arial Cyr"/>
        <family val="2"/>
        <charset val="204"/>
      </rPr>
      <t>2</t>
    </r>
  </si>
  <si>
    <t>Установка входных дверей</t>
  </si>
  <si>
    <t>ШТУКАТУРНЫЕ РАБОТЫ</t>
  </si>
  <si>
    <r>
      <t>1 м</t>
    </r>
    <r>
      <rPr>
        <vertAlign val="superscript"/>
        <sz val="10"/>
        <rFont val="Arial Cyr"/>
        <family val="2"/>
        <charset val="204"/>
      </rPr>
      <t>3</t>
    </r>
  </si>
  <si>
    <t>УСЛУГИ ПРИ НАРУШЕНИИ ПРАВИЛ ЭКСПЛУАТАЦИИ ИНЖЕНЕРНЫХ ПРИБОРОВ</t>
  </si>
  <si>
    <t>Устранение засоров внутренней канализации</t>
  </si>
  <si>
    <t>Устранение засора труб ( комплексно внутриквартирной канализационной системы)</t>
  </si>
  <si>
    <t>1 квартира</t>
  </si>
  <si>
    <t>Устранение засоры ванны</t>
  </si>
  <si>
    <t>Устранение засора раковины (без снятия)</t>
  </si>
  <si>
    <t>Устранение засора раковины (со  снятием))</t>
  </si>
  <si>
    <t>Укрепление расшатанного унитаза</t>
  </si>
  <si>
    <t>Устранение засора унитаза</t>
  </si>
  <si>
    <t>Устранение засора фановой трубы</t>
  </si>
  <si>
    <t>Регулировка сливных бачков,разборка,прочистка</t>
  </si>
  <si>
    <t>УСТАНОВКА ПРИБОРОВ УЧЕТА И ДОПОЛНИТЕЛЬНОГО ОБОРУДОВАНИЯ</t>
  </si>
  <si>
    <t xml:space="preserve">Смена отопительного прибора со сваркой (демонтаж и установка) </t>
  </si>
  <si>
    <t xml:space="preserve">Смена отопительного прибора без сварки (демонтаж и установка) </t>
  </si>
  <si>
    <t>Смена сгонов у трубопроводов</t>
  </si>
  <si>
    <t>1 штука</t>
  </si>
  <si>
    <t>Установка накопительного водонагревателя, бойлера (до 80 л)</t>
  </si>
  <si>
    <t>Установка накопительного водонагревателя, бойлера (более 80 л)</t>
  </si>
  <si>
    <t>Демонтаж накопительного водонагревателя</t>
  </si>
  <si>
    <t>Подключение водонагревателя к системе водоснабжения</t>
  </si>
  <si>
    <t>Подключение водонагревателя к электросети (кабель до 5 м.п)</t>
  </si>
  <si>
    <t>Замена внутриквартирной разводки инженерных систем  ХВС  (на пластиковые трубы)</t>
  </si>
  <si>
    <t>Замена внутриквартирной разводки инженерных систем  ГВС  (на пластиковые трубы)</t>
  </si>
  <si>
    <t xml:space="preserve"> Подключение   ГВС на стояке по заявке жителей, погасивших  задолженность</t>
  </si>
  <si>
    <t xml:space="preserve"> 1 час</t>
  </si>
  <si>
    <t>Отключение  электроэнергии у должников</t>
  </si>
  <si>
    <t>Генеральный директор</t>
  </si>
  <si>
    <t>В.А. Коврижных</t>
  </si>
  <si>
    <t>Подключение  электроэнергии у должников, оплативших долги</t>
  </si>
  <si>
    <t>Консультация  специалиста</t>
  </si>
  <si>
    <t>Отключение и подключение в нерабочее время стояка ХВС, ГВС, отопления находящегося в квартире (при выполнении платной услуги работниками ЖКХ плата не взимается)</t>
  </si>
  <si>
    <t>1 стояк</t>
  </si>
  <si>
    <t>Главный экономист:</t>
  </si>
  <si>
    <t>Т.А.Васильева</t>
  </si>
  <si>
    <t>Т.А. Васильева</t>
  </si>
  <si>
    <t>(вводятся с 01 января 2025  г.)</t>
  </si>
  <si>
    <t>НДС 5%</t>
  </si>
  <si>
    <t>Стоимость услуг за единицу с учетом НДС (руб)</t>
  </si>
  <si>
    <t>ПРОЧИЕ</t>
  </si>
  <si>
    <t>Приложение  № 1</t>
  </si>
  <si>
    <t>на платные  услуги, оказываемые ООО "ДОМСЕРВИС" для населения из материала заказчика.</t>
  </si>
  <si>
    <t>к договору  № 16  от 09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</si>
</sst>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₽&quot;;\-#,##0.00\ &quot;₽&quot;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0\ &quot;₽&quot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0"/>
      <color theme="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vertAlign val="superscript"/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5" xfId="0" applyBorder="1"/>
    <xf numFmtId="164" fontId="0" fillId="0" borderId="5" xfId="2" applyNumberFormat="1" applyFont="1" applyBorder="1"/>
    <xf numFmtId="164" fontId="0" fillId="0" borderId="5" xfId="2" applyNumberFormat="1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wrapText="1"/>
    </xf>
    <xf numFmtId="0" fontId="0" fillId="0" borderId="5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164" fontId="0" fillId="0" borderId="7" xfId="2" applyNumberFormat="1" applyFont="1" applyBorder="1"/>
    <xf numFmtId="164" fontId="0" fillId="0" borderId="7" xfId="2" applyNumberFormat="1" applyFont="1" applyBorder="1" applyAlignment="1">
      <alignment horizontal="center"/>
    </xf>
    <xf numFmtId="0" fontId="0" fillId="0" borderId="9" xfId="0" applyBorder="1" applyAlignment="1">
      <alignment vertical="center" wrapText="1"/>
    </xf>
    <xf numFmtId="164" fontId="0" fillId="0" borderId="9" xfId="2" applyNumberFormat="1" applyFont="1" applyBorder="1"/>
    <xf numFmtId="164" fontId="0" fillId="0" borderId="9" xfId="2" applyNumberFormat="1" applyFont="1" applyBorder="1" applyAlignment="1">
      <alignment horizontal="center"/>
    </xf>
    <xf numFmtId="0" fontId="0" fillId="0" borderId="10" xfId="0" applyBorder="1" applyAlignment="1">
      <alignment wrapText="1"/>
    </xf>
    <xf numFmtId="164" fontId="0" fillId="0" borderId="10" xfId="2" applyNumberFormat="1" applyFont="1" applyBorder="1"/>
    <xf numFmtId="164" fontId="0" fillId="0" borderId="10" xfId="2" applyNumberFormat="1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164" fontId="2" fillId="0" borderId="7" xfId="2" applyNumberFormat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2" borderId="5" xfId="2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64" fontId="0" fillId="0" borderId="0" xfId="2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64" fontId="0" fillId="0" borderId="5" xfId="0" applyNumberFormat="1" applyBorder="1" applyAlignment="1">
      <alignment horizontal="center" vertical="center"/>
    </xf>
    <xf numFmtId="164" fontId="0" fillId="0" borderId="20" xfId="2" applyNumberFormat="1" applyFont="1" applyBorder="1" applyAlignment="1">
      <alignment horizontal="center" vertical="center"/>
    </xf>
    <xf numFmtId="164" fontId="0" fillId="0" borderId="21" xfId="2" applyNumberFormat="1" applyFont="1" applyBorder="1" applyAlignment="1">
      <alignment horizontal="center" vertical="center"/>
    </xf>
    <xf numFmtId="164" fontId="2" fillId="0" borderId="21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164" fontId="0" fillId="0" borderId="22" xfId="2" applyNumberFormat="1" applyFont="1" applyBorder="1" applyAlignment="1">
      <alignment horizontal="center" vertical="center"/>
    </xf>
    <xf numFmtId="164" fontId="0" fillId="0" borderId="23" xfId="2" applyNumberFormat="1" applyFont="1" applyBorder="1" applyAlignment="1">
      <alignment horizontal="center" vertical="center"/>
    </xf>
    <xf numFmtId="164" fontId="0" fillId="0" borderId="24" xfId="2" applyNumberFormat="1" applyFont="1" applyBorder="1" applyAlignment="1">
      <alignment horizontal="center" vertical="center"/>
    </xf>
    <xf numFmtId="0" fontId="0" fillId="0" borderId="21" xfId="0" applyFill="1" applyBorder="1"/>
    <xf numFmtId="43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7" fontId="0" fillId="0" borderId="5" xfId="0" applyNumberFormat="1" applyBorder="1" applyAlignment="1">
      <alignment horizontal="center" vertical="center"/>
    </xf>
    <xf numFmtId="165" fontId="0" fillId="0" borderId="0" xfId="0" applyNumberForma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/>
    <xf numFmtId="164" fontId="0" fillId="0" borderId="9" xfId="0" applyNumberFormat="1" applyBorder="1" applyAlignment="1">
      <alignment horizontal="center" vertical="center"/>
    </xf>
    <xf numFmtId="43" fontId="0" fillId="0" borderId="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3" fontId="0" fillId="0" borderId="7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7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165" fontId="12" fillId="0" borderId="8" xfId="0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164" fontId="0" fillId="0" borderId="10" xfId="2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43" fontId="0" fillId="0" borderId="10" xfId="0" applyNumberForma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164" fontId="0" fillId="0" borderId="5" xfId="2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wrapText="1"/>
    </xf>
    <xf numFmtId="164" fontId="0" fillId="0" borderId="15" xfId="2" applyNumberFormat="1" applyFont="1" applyBorder="1"/>
    <xf numFmtId="164" fontId="0" fillId="0" borderId="15" xfId="2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165" fontId="12" fillId="0" borderId="16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0" fillId="0" borderId="7" xfId="2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164" fontId="0" fillId="0" borderId="12" xfId="2" applyNumberFormat="1" applyFont="1" applyBorder="1"/>
    <xf numFmtId="164" fontId="0" fillId="0" borderId="12" xfId="2" applyNumberFormat="1" applyFont="1" applyBorder="1" applyAlignment="1">
      <alignment horizontal="center"/>
    </xf>
    <xf numFmtId="164" fontId="0" fillId="0" borderId="12" xfId="2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165" fontId="12" fillId="0" borderId="3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43" fontId="15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7" fontId="0" fillId="0" borderId="10" xfId="0" applyNumberFormat="1" applyBorder="1" applyAlignment="1">
      <alignment horizontal="center" vertical="center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90;&#1085;&#1099;&#1077;%20&#1091;&#1089;&#1083;&#1091;&#1075;&#1080;%20&#1089;%2010%20&#1080;&#1102;&#1085;&#1103;%2021%20&#1075;%20&#1075;.%20&#1074;%20&#1054;&#1054;&#1054;%20&#1042;&#1059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замена эл.счетчика"/>
      <sheetName val="Калькуляции "/>
      <sheetName val="Тарифы "/>
      <sheetName val="ремонт отопительного прибора"/>
      <sheetName val="Остекление рамы"/>
    </sheetNames>
    <sheetDataSet>
      <sheetData sheetId="0"/>
      <sheetData sheetId="1"/>
      <sheetData sheetId="2"/>
      <sheetData sheetId="3">
        <row r="7">
          <cell r="C7" t="str">
            <v>Электротехнические услуги</v>
          </cell>
        </row>
        <row r="8">
          <cell r="B8">
            <v>1</v>
          </cell>
          <cell r="C8" t="str">
            <v>Замена неисправных участков сети электропровода:</v>
          </cell>
        </row>
        <row r="9">
          <cell r="C9" t="str">
            <v>2х1,5; 2х2,5</v>
          </cell>
          <cell r="D9" t="str">
            <v>1м</v>
          </cell>
          <cell r="R9">
            <v>44</v>
          </cell>
        </row>
        <row r="10">
          <cell r="C10" t="str">
            <v>3х1,5; 3х2,5</v>
          </cell>
          <cell r="D10" t="str">
            <v xml:space="preserve">1м </v>
          </cell>
          <cell r="R10">
            <v>55</v>
          </cell>
        </row>
        <row r="12">
          <cell r="C12" t="str">
            <v>Ремонт штепсельных розеток</v>
          </cell>
          <cell r="R12">
            <v>153</v>
          </cell>
        </row>
        <row r="14">
          <cell r="C14" t="str">
            <v>Замена автоматических выключателей</v>
          </cell>
          <cell r="R14">
            <v>230</v>
          </cell>
        </row>
        <row r="15">
          <cell r="C15" t="str">
            <v>Пробивка отверстия для прокладки кабеля</v>
          </cell>
          <cell r="D15" t="str">
            <v>1 отверстие</v>
          </cell>
          <cell r="R15">
            <v>177</v>
          </cell>
        </row>
        <row r="16">
          <cell r="C16" t="str">
            <v>Демонтаж старой проводки и монтаж вновь проводов типа ПР-500-2 сечение 2.5 мм2 в полутвёрдые трубки  - 1 провод</v>
          </cell>
          <cell r="D16" t="str">
            <v xml:space="preserve"> 1м трубы</v>
          </cell>
          <cell r="R16">
            <v>111</v>
          </cell>
        </row>
        <row r="17">
          <cell r="C17" t="str">
            <v xml:space="preserve">Демонтаж старой проводки и монтаж вновь проводов типа ПР-500-2 сечение 2.5 мм2 в ранее проложенные резиновые полутвёрдые трубки  - 2 провода </v>
          </cell>
          <cell r="D17" t="str">
            <v xml:space="preserve"> 1м трубы</v>
          </cell>
          <cell r="R17">
            <v>44</v>
          </cell>
        </row>
        <row r="18">
          <cell r="C18" t="str">
            <v>Смена выключателя (переключателя) или штепсельной розетки (простые,установленные открыто)</v>
          </cell>
          <cell r="R18">
            <v>109</v>
          </cell>
        </row>
        <row r="19">
          <cell r="C19" t="str">
            <v>Смена выключателя (переключателя) или штепсельной розетки (сложные,установленные заглублённо)</v>
          </cell>
          <cell r="R19">
            <v>148</v>
          </cell>
        </row>
        <row r="20">
          <cell r="C20" t="str">
            <v>Смена стенного или потолочного патрона или бра на 1лампу</v>
          </cell>
          <cell r="D20" t="str">
            <v>1 патрон</v>
          </cell>
          <cell r="R20">
            <v>111</v>
          </cell>
        </row>
        <row r="21">
          <cell r="C21" t="str">
            <v>Смена шнурового подвеса</v>
          </cell>
          <cell r="D21" t="str">
            <v>1 подвес</v>
          </cell>
          <cell r="R21">
            <v>94</v>
          </cell>
        </row>
        <row r="22">
          <cell r="D22" t="str">
            <v>1 подвес</v>
          </cell>
          <cell r="R22">
            <v>135</v>
          </cell>
        </row>
        <row r="23">
          <cell r="C23" t="str">
            <v>Прокладка проводов в коробах,лотках и по перфорированным профилям</v>
          </cell>
          <cell r="D23" t="str">
            <v>1м</v>
          </cell>
          <cell r="R23">
            <v>194</v>
          </cell>
        </row>
        <row r="24">
          <cell r="C24" t="str">
            <v xml:space="preserve">Снятие выключателя,переключателя или штепсельной розетки </v>
          </cell>
          <cell r="R24">
            <v>37</v>
          </cell>
        </row>
        <row r="25">
          <cell r="C25" t="str">
            <v>Установка выключателя,переключателя или штепсельной розетки</v>
          </cell>
          <cell r="R25">
            <v>153</v>
          </cell>
        </row>
        <row r="26">
          <cell r="C26" t="str">
            <v>Демонтаж бра,плафонов,светильников</v>
          </cell>
          <cell r="R26">
            <v>48</v>
          </cell>
        </row>
        <row r="27">
          <cell r="C27" t="str">
            <v>Установка бра,плафонов,светильников</v>
          </cell>
          <cell r="R27">
            <v>290</v>
          </cell>
        </row>
        <row r="28">
          <cell r="C28" t="str">
            <v xml:space="preserve">Установка люстры в 2-3 светильника </v>
          </cell>
          <cell r="R28">
            <v>571</v>
          </cell>
        </row>
        <row r="29">
          <cell r="C29" t="str">
            <v>Установка электрозвонка и кнопки с прокладкой провода</v>
          </cell>
          <cell r="R29">
            <v>848</v>
          </cell>
        </row>
        <row r="31">
          <cell r="C31" t="str">
            <v>Замена электросчётчика</v>
          </cell>
          <cell r="R31">
            <v>817.89417669959983</v>
          </cell>
        </row>
        <row r="32">
          <cell r="R32">
            <v>290</v>
          </cell>
        </row>
        <row r="33">
          <cell r="C33" t="str">
            <v>УСЛУГИ ПО ГОРЯЧЕМУ ,ХОЛОДНОМУ ВОДОСНАБЖЕНИЮ И КАНАЛИЗАЦИИ</v>
          </cell>
        </row>
        <row r="34">
          <cell r="C34" t="str">
            <v>Зачеканка раструбов чугунных труб или фасонных частей цементом при диаметре труб 5мм</v>
          </cell>
          <cell r="D34" t="str">
            <v>1раструб</v>
          </cell>
          <cell r="R34">
            <v>79</v>
          </cell>
        </row>
        <row r="35">
          <cell r="C35" t="str">
            <v>Зачеканка раструбов чугунных труб или фасонных частей цементом при диаметре труб до 150мм</v>
          </cell>
          <cell r="D35" t="str">
            <v>1раструб</v>
          </cell>
          <cell r="R35">
            <v>150</v>
          </cell>
        </row>
        <row r="36">
          <cell r="C36" t="str">
            <v>Установка 1водопроводного крана с использованием сварочных работ для стиральных машин или бойлеров</v>
          </cell>
          <cell r="R36">
            <v>737</v>
          </cell>
        </row>
        <row r="37">
          <cell r="C37" t="str">
            <v>Смена водопроводных кранов</v>
          </cell>
          <cell r="R37">
            <v>227</v>
          </cell>
        </row>
        <row r="38">
          <cell r="R38">
            <v>286</v>
          </cell>
        </row>
        <row r="39">
          <cell r="C39" t="str">
            <v>Смена ванн</v>
          </cell>
          <cell r="D39" t="str">
            <v>1комплект</v>
          </cell>
          <cell r="R39">
            <v>1481</v>
          </cell>
        </row>
        <row r="40">
          <cell r="C40" t="str">
            <v>Смена раковины или мойки</v>
          </cell>
          <cell r="R40">
            <v>398</v>
          </cell>
        </row>
        <row r="41">
          <cell r="C41" t="str">
            <v>Смена умывальника</v>
          </cell>
          <cell r="R41">
            <v>617</v>
          </cell>
        </row>
        <row r="42">
          <cell r="C42" t="str">
            <v>Смена сифона</v>
          </cell>
          <cell r="R42">
            <v>237</v>
          </cell>
        </row>
        <row r="43">
          <cell r="C43" t="str">
            <v>Смена смывной трубы или трапа</v>
          </cell>
          <cell r="R43">
            <v>252</v>
          </cell>
        </row>
        <row r="44">
          <cell r="R44">
            <v>312</v>
          </cell>
        </row>
        <row r="45">
          <cell r="R45">
            <v>487</v>
          </cell>
        </row>
        <row r="46">
          <cell r="C46" t="str">
            <v>Смена сиденья к унитазу</v>
          </cell>
          <cell r="R46">
            <v>49</v>
          </cell>
        </row>
        <row r="48">
          <cell r="C48" t="str">
            <v>Смена резинового манжета унитаза</v>
          </cell>
          <cell r="R48">
            <v>180</v>
          </cell>
        </row>
        <row r="49">
          <cell r="C49" t="str">
            <v>Смена прокладок у ревизии диаметром  до 100мм</v>
          </cell>
          <cell r="R49">
            <v>126</v>
          </cell>
        </row>
        <row r="50">
          <cell r="C50" t="str">
            <v>Ремонт водопроводных кранов</v>
          </cell>
          <cell r="R50">
            <v>85</v>
          </cell>
        </row>
        <row r="51">
          <cell r="C51" t="str">
            <v>Присоединение 1 гибкого шланга (для стиральных машин или бойлера)</v>
          </cell>
          <cell r="D51" t="str">
            <v>1шланг</v>
          </cell>
          <cell r="R51">
            <v>53</v>
          </cell>
        </row>
        <row r="52">
          <cell r="C52" t="str">
            <v xml:space="preserve">СТОЛЯРНЫЕ РАБОТЫ </v>
          </cell>
        </row>
        <row r="53">
          <cell r="B53">
            <v>42</v>
          </cell>
          <cell r="C53" t="str">
            <v>Большой ремонт подоконников</v>
          </cell>
          <cell r="R53">
            <v>1993</v>
          </cell>
        </row>
        <row r="54">
          <cell r="B54">
            <v>43</v>
          </cell>
          <cell r="C54" t="str">
            <v>Изготовление форточек</v>
          </cell>
          <cell r="D54" t="str">
            <v>1штука</v>
          </cell>
          <cell r="R54">
            <v>253</v>
          </cell>
        </row>
        <row r="55">
          <cell r="B55">
            <v>44</v>
          </cell>
          <cell r="C55" t="str">
            <v>Смена форточек</v>
          </cell>
          <cell r="D55" t="str">
            <v>1штука</v>
          </cell>
          <cell r="R55">
            <v>218</v>
          </cell>
        </row>
        <row r="56">
          <cell r="B56">
            <v>45</v>
          </cell>
          <cell r="C56" t="str">
            <v>Замена неисправных дверных врезных замков</v>
          </cell>
          <cell r="D56" t="str">
            <v>1штука</v>
          </cell>
          <cell r="R56">
            <v>155</v>
          </cell>
        </row>
        <row r="57">
          <cell r="B57">
            <v>46</v>
          </cell>
          <cell r="C57" t="str">
            <v>Замена неисправных дверных шпингалетов</v>
          </cell>
          <cell r="D57" t="str">
            <v>1комплект</v>
          </cell>
          <cell r="R57">
            <v>310</v>
          </cell>
        </row>
        <row r="58">
          <cell r="B58">
            <v>47</v>
          </cell>
          <cell r="C58" t="str">
            <v>Смена покрытия полов из плитки ПХВ или линолема площадью до 5м2 с установкой плинтусов</v>
          </cell>
          <cell r="R58">
            <v>188</v>
          </cell>
        </row>
        <row r="59">
          <cell r="B59">
            <v>48</v>
          </cell>
          <cell r="C59" t="str">
            <v>Смена разбитых оконных стёкол</v>
          </cell>
          <cell r="R59">
            <v>428</v>
          </cell>
        </row>
        <row r="60">
          <cell r="B60">
            <v>49</v>
          </cell>
          <cell r="C60" t="str">
            <v xml:space="preserve">Смена плинтусов </v>
          </cell>
          <cell r="D60" t="str">
            <v>1м</v>
          </cell>
          <cell r="R60">
            <v>122</v>
          </cell>
        </row>
        <row r="61">
          <cell r="D61" t="str">
            <v>1 дверь</v>
          </cell>
          <cell r="R61">
            <v>748</v>
          </cell>
        </row>
        <row r="63">
          <cell r="C63" t="str">
            <v>Простукивание и отбивание старой,негодной штукатурки по каменной и бетонной поверхности</v>
          </cell>
          <cell r="R63">
            <v>57</v>
          </cell>
        </row>
        <row r="64">
          <cell r="C64" t="str">
            <v>Простукивание и отбивание старой,негодной штукатурки по деревянным поверхностям стен и потолков</v>
          </cell>
          <cell r="R64">
            <v>79</v>
          </cell>
        </row>
        <row r="65">
          <cell r="C65" t="str">
            <v>Ремонт штукатурки стен отдельными местами площадью до 1м2</v>
          </cell>
          <cell r="R65">
            <v>375</v>
          </cell>
        </row>
        <row r="66">
          <cell r="C66" t="str">
            <v>Ремонт штукатурки потолков отдельными местами площадью до 1м2</v>
          </cell>
          <cell r="R66">
            <v>426</v>
          </cell>
        </row>
        <row r="67">
          <cell r="C67" t="str">
            <v>Ремонт штукатурки стен отдельными местами площадью до 10м2</v>
          </cell>
          <cell r="R67">
            <v>258</v>
          </cell>
        </row>
        <row r="68">
          <cell r="C68" t="str">
            <v>Ремонт штукатурки потолков отдельными местами площадью до 10м2</v>
          </cell>
          <cell r="R68">
            <v>325</v>
          </cell>
        </row>
        <row r="69">
          <cell r="C69" t="str">
            <v>Перетирка внутренней штукатурки и потолков</v>
          </cell>
          <cell r="R69">
            <v>51</v>
          </cell>
        </row>
        <row r="70">
          <cell r="C70" t="str">
            <v>Ремонт штукатурки откосов по камню</v>
          </cell>
          <cell r="R70">
            <v>464</v>
          </cell>
        </row>
        <row r="71">
          <cell r="C71" t="str">
            <v>Ремонт штукатурки откосов по дереву</v>
          </cell>
          <cell r="R71">
            <v>492</v>
          </cell>
        </row>
        <row r="72">
          <cell r="C72" t="str">
            <v>Заделка щелей в верхней части перегородок с проконопаткой и подмазкой раствором</v>
          </cell>
          <cell r="R72">
            <v>37</v>
          </cell>
        </row>
        <row r="73">
          <cell r="C73" t="str">
            <v>Окраска стен и потолков клеевым колером с очисткой старой краски и подготовкой основания</v>
          </cell>
          <cell r="R73">
            <v>29</v>
          </cell>
        </row>
        <row r="74">
          <cell r="C74" t="str">
            <v>Масляная окраска ранее окрашенных стен и потолков за 1 раз(освежение)</v>
          </cell>
          <cell r="R74">
            <v>33</v>
          </cell>
        </row>
        <row r="75">
          <cell r="C75" t="str">
            <v>Масляная окраска ранее окрашенных полов за 1 раз(освежение)</v>
          </cell>
          <cell r="R75">
            <v>24</v>
          </cell>
        </row>
        <row r="76">
          <cell r="C76" t="str">
            <v>Масляная окраска ранее окрашенных стен с расчисткой старой краски до 100% за 2 раза</v>
          </cell>
          <cell r="R76">
            <v>55</v>
          </cell>
        </row>
        <row r="77">
          <cell r="C77" t="str">
            <v>Масляная окраска ранее окрашенных потолков с расчисткой старой краски до 100% за 2 раза</v>
          </cell>
          <cell r="R77">
            <v>75</v>
          </cell>
        </row>
        <row r="78">
          <cell r="C78" t="str">
            <v>Масляная окраска ранее окрашенных полов с расчисткой старой краски до 100% за 2 раза</v>
          </cell>
          <cell r="R78">
            <v>62</v>
          </cell>
        </row>
        <row r="79">
          <cell r="C79" t="str">
            <v>Масляная окраска оштукатуренных стен внутри помещения (простая)</v>
          </cell>
          <cell r="R79">
            <v>44</v>
          </cell>
        </row>
        <row r="80">
          <cell r="C80" t="str">
            <v>Масляная окраска оштукатуренных стен внутри помещения (улучшенная)</v>
          </cell>
          <cell r="R80">
            <v>128</v>
          </cell>
        </row>
        <row r="81">
          <cell r="C81" t="str">
            <v>Масляная окраска за 1 раз (освежение) ранее окрашенных оконных проёмов</v>
          </cell>
          <cell r="R81">
            <v>218</v>
          </cell>
        </row>
        <row r="82">
          <cell r="C82" t="str">
            <v>Масляная окраска за 2 раза с расчисткой до 10% ранее окрашенных оконных проёмов</v>
          </cell>
          <cell r="R82">
            <v>464</v>
          </cell>
        </row>
        <row r="83">
          <cell r="C83" t="str">
            <v>Масляная окраска за 1 раз (освежение) ранее окрашенных однопольных и двупольных дверей</v>
          </cell>
          <cell r="R83">
            <v>166</v>
          </cell>
        </row>
        <row r="84">
          <cell r="C84" t="str">
            <v>Масляная окраска за 2 раза с расчисткой до 10% ранее окрашенных однопольных и двупольных дверей</v>
          </cell>
          <cell r="R84">
            <v>364</v>
          </cell>
        </row>
        <row r="85">
          <cell r="C85" t="str">
            <v>Смена обоев со сдиранием старых и подклейкой стен бумагой</v>
          </cell>
          <cell r="R85">
            <v>83</v>
          </cell>
        </row>
        <row r="86">
          <cell r="C86" t="str">
            <v>Окраска масляной краской радиаторов по ранее окрашенной поверхности за 1раз</v>
          </cell>
          <cell r="R86">
            <v>83</v>
          </cell>
        </row>
        <row r="87">
          <cell r="C87" t="str">
            <v>Окраска масляной краской решеток сантехприборов и металлических поверхностей по ранее окрашенной поверхности за 1раз</v>
          </cell>
          <cell r="R87">
            <v>90</v>
          </cell>
        </row>
        <row r="88">
          <cell r="C88" t="str">
            <v>Укрепление оставшихся потолочных розеток</v>
          </cell>
          <cell r="D88" t="str">
            <v>1розетка</v>
          </cell>
          <cell r="R88">
            <v>155</v>
          </cell>
        </row>
        <row r="89">
          <cell r="C89" t="str">
            <v xml:space="preserve">Укрепление оставшихся лепных погонных деталей высотой до 5см </v>
          </cell>
          <cell r="D89" t="str">
            <v>1м</v>
          </cell>
          <cell r="R89">
            <v>73</v>
          </cell>
        </row>
        <row r="90">
          <cell r="C90" t="str">
            <v xml:space="preserve">Укрепление оставшихся лепных погонных деталей высотой до 10см </v>
          </cell>
          <cell r="D90" t="str">
            <v>1м</v>
          </cell>
          <cell r="R90">
            <v>84</v>
          </cell>
        </row>
        <row r="91">
          <cell r="C91" t="str">
            <v>Ручное приготовление растворов</v>
          </cell>
          <cell r="R91">
            <v>426</v>
          </cell>
        </row>
        <row r="92">
          <cell r="C92" t="str">
            <v>Ремонт выбоин в цементных полах площадью до 0,25м2 раствором</v>
          </cell>
          <cell r="D92" t="str">
            <v>1место</v>
          </cell>
          <cell r="R92">
            <v>64</v>
          </cell>
        </row>
        <row r="93">
          <cell r="C93" t="str">
            <v>Ремонт выбоин в цементных чистых полах площадью до 0,5м2 раствором</v>
          </cell>
          <cell r="D93" t="str">
            <v>1место</v>
          </cell>
          <cell r="R93">
            <v>119</v>
          </cell>
        </row>
        <row r="94">
          <cell r="C94" t="str">
            <v>Смена керамических плиток отдельными местами до 10штук в одном месте стены</v>
          </cell>
          <cell r="D94" t="str">
            <v>1плитка</v>
          </cell>
          <cell r="R94">
            <v>46</v>
          </cell>
        </row>
        <row r="97">
          <cell r="D97" t="str">
            <v>1прол.между ревиз.</v>
          </cell>
          <cell r="R97">
            <v>114</v>
          </cell>
        </row>
        <row r="98">
          <cell r="D98" t="str">
            <v>1унитаз</v>
          </cell>
          <cell r="R98">
            <v>91</v>
          </cell>
        </row>
        <row r="99">
          <cell r="D99" t="str">
            <v>1унитаз</v>
          </cell>
          <cell r="R99">
            <v>248</v>
          </cell>
        </row>
        <row r="100">
          <cell r="D100" t="str">
            <v>1бачок</v>
          </cell>
          <cell r="R100">
            <v>77</v>
          </cell>
        </row>
        <row r="103">
          <cell r="C103" t="str">
            <v>Установка прибора учёта со сваркой</v>
          </cell>
          <cell r="D103" t="str">
            <v>1 счётчик</v>
          </cell>
          <cell r="R103">
            <v>913</v>
          </cell>
        </row>
        <row r="104">
          <cell r="C104" t="str">
            <v>Установка прибора учёта без сварки</v>
          </cell>
          <cell r="D104" t="str">
            <v>1 счётчик</v>
          </cell>
          <cell r="R104">
            <v>890</v>
          </cell>
        </row>
        <row r="105">
          <cell r="D105" t="str">
            <v>1 блок</v>
          </cell>
          <cell r="R105">
            <v>942</v>
          </cell>
        </row>
        <row r="106">
          <cell r="D106" t="str">
            <v>1 блок</v>
          </cell>
          <cell r="R106">
            <v>916</v>
          </cell>
        </row>
        <row r="107">
          <cell r="R107">
            <v>2244</v>
          </cell>
        </row>
        <row r="108">
          <cell r="R108">
            <v>2334</v>
          </cell>
        </row>
        <row r="109">
          <cell r="C109" t="str">
            <v>Ремонт полотенцесушителя</v>
          </cell>
          <cell r="D109" t="str">
            <v>1 полотенцес.</v>
          </cell>
          <cell r="R109">
            <v>374</v>
          </cell>
        </row>
        <row r="110">
          <cell r="C110" t="str">
            <v>Установка полотенцесушителя со сваркой</v>
          </cell>
          <cell r="D110" t="str">
            <v>1 полотенцес.</v>
          </cell>
          <cell r="R110">
            <v>830</v>
          </cell>
        </row>
        <row r="111">
          <cell r="C111" t="str">
            <v>Установка полотенцесушителя без сварки</v>
          </cell>
          <cell r="D111" t="str">
            <v>1 полотенцес.</v>
          </cell>
          <cell r="R111">
            <v>508</v>
          </cell>
        </row>
        <row r="113">
          <cell r="C113" t="str">
            <v>Замена прибора учёта</v>
          </cell>
          <cell r="D113" t="str">
            <v>1 счётчик</v>
          </cell>
          <cell r="R113">
            <v>200</v>
          </cell>
        </row>
        <row r="114">
          <cell r="D114" t="str">
            <v>1квартира</v>
          </cell>
        </row>
        <row r="115">
          <cell r="D115" t="str">
            <v>1квартира</v>
          </cell>
        </row>
        <row r="116">
          <cell r="C116" t="str">
            <v>Демонтаж питающей линии и монтаж вводного кабеля от автомата до распределительной коробки</v>
          </cell>
          <cell r="D116" t="str">
            <v>1квартира</v>
          </cell>
          <cell r="R116">
            <v>972.48</v>
          </cell>
        </row>
        <row r="117">
          <cell r="C117" t="str">
            <v>Замена внутриквартирной канализации</v>
          </cell>
          <cell r="D117" t="str">
            <v>1квартира</v>
          </cell>
          <cell r="R117">
            <v>1971.6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9"/>
  <sheetViews>
    <sheetView tabSelected="1" topLeftCell="A148" workbookViewId="0">
      <selection activeCell="A37" sqref="A37:J156"/>
    </sheetView>
  </sheetViews>
  <sheetFormatPr defaultRowHeight="14.4" x14ac:dyDescent="0.3"/>
  <cols>
    <col min="1" max="1" width="4.6640625" customWidth="1"/>
    <col min="2" max="2" width="41.88671875" customWidth="1"/>
    <col min="3" max="3" width="15.5546875" customWidth="1"/>
    <col min="4" max="4" width="11.6640625" hidden="1" customWidth="1"/>
    <col min="5" max="5" width="10.33203125" hidden="1" customWidth="1"/>
    <col min="6" max="6" width="19.109375" hidden="1" customWidth="1"/>
    <col min="7" max="7" width="19.5546875" hidden="1" customWidth="1"/>
    <col min="8" max="8" width="11" hidden="1" customWidth="1"/>
    <col min="9" max="9" width="18.6640625" style="64" hidden="1" customWidth="1"/>
    <col min="10" max="10" width="18.44140625" customWidth="1"/>
    <col min="256" max="256" width="4.6640625" customWidth="1"/>
    <col min="257" max="257" width="41.88671875" customWidth="1"/>
    <col min="258" max="258" width="15.5546875" customWidth="1"/>
    <col min="259" max="261" width="0" hidden="1" customWidth="1"/>
    <col min="262" max="262" width="22.44140625" bestFit="1" customWidth="1"/>
    <col min="263" max="263" width="12" bestFit="1" customWidth="1"/>
    <col min="264" max="264" width="11" bestFit="1" customWidth="1"/>
    <col min="265" max="265" width="12" customWidth="1"/>
    <col min="266" max="266" width="9.33203125" bestFit="1" customWidth="1"/>
    <col min="512" max="512" width="4.6640625" customWidth="1"/>
    <col min="513" max="513" width="41.88671875" customWidth="1"/>
    <col min="514" max="514" width="15.5546875" customWidth="1"/>
    <col min="515" max="517" width="0" hidden="1" customWidth="1"/>
    <col min="518" max="518" width="22.44140625" bestFit="1" customWidth="1"/>
    <col min="519" max="519" width="12" bestFit="1" customWidth="1"/>
    <col min="520" max="520" width="11" bestFit="1" customWidth="1"/>
    <col min="521" max="521" width="12" customWidth="1"/>
    <col min="522" max="522" width="9.33203125" bestFit="1" customWidth="1"/>
    <col min="768" max="768" width="4.6640625" customWidth="1"/>
    <col min="769" max="769" width="41.88671875" customWidth="1"/>
    <col min="770" max="770" width="15.5546875" customWidth="1"/>
    <col min="771" max="773" width="0" hidden="1" customWidth="1"/>
    <col min="774" max="774" width="22.44140625" bestFit="1" customWidth="1"/>
    <col min="775" max="775" width="12" bestFit="1" customWidth="1"/>
    <col min="776" max="776" width="11" bestFit="1" customWidth="1"/>
    <col min="777" max="777" width="12" customWidth="1"/>
    <col min="778" max="778" width="9.33203125" bestFit="1" customWidth="1"/>
    <col min="1024" max="1024" width="4.6640625" customWidth="1"/>
    <col min="1025" max="1025" width="41.88671875" customWidth="1"/>
    <col min="1026" max="1026" width="15.5546875" customWidth="1"/>
    <col min="1027" max="1029" width="0" hidden="1" customWidth="1"/>
    <col min="1030" max="1030" width="22.44140625" bestFit="1" customWidth="1"/>
    <col min="1031" max="1031" width="12" bestFit="1" customWidth="1"/>
    <col min="1032" max="1032" width="11" bestFit="1" customWidth="1"/>
    <col min="1033" max="1033" width="12" customWidth="1"/>
    <col min="1034" max="1034" width="9.33203125" bestFit="1" customWidth="1"/>
    <col min="1280" max="1280" width="4.6640625" customWidth="1"/>
    <col min="1281" max="1281" width="41.88671875" customWidth="1"/>
    <col min="1282" max="1282" width="15.5546875" customWidth="1"/>
    <col min="1283" max="1285" width="0" hidden="1" customWidth="1"/>
    <col min="1286" max="1286" width="22.44140625" bestFit="1" customWidth="1"/>
    <col min="1287" max="1287" width="12" bestFit="1" customWidth="1"/>
    <col min="1288" max="1288" width="11" bestFit="1" customWidth="1"/>
    <col min="1289" max="1289" width="12" customWidth="1"/>
    <col min="1290" max="1290" width="9.33203125" bestFit="1" customWidth="1"/>
    <col min="1536" max="1536" width="4.6640625" customWidth="1"/>
    <col min="1537" max="1537" width="41.88671875" customWidth="1"/>
    <col min="1538" max="1538" width="15.5546875" customWidth="1"/>
    <col min="1539" max="1541" width="0" hidden="1" customWidth="1"/>
    <col min="1542" max="1542" width="22.44140625" bestFit="1" customWidth="1"/>
    <col min="1543" max="1543" width="12" bestFit="1" customWidth="1"/>
    <col min="1544" max="1544" width="11" bestFit="1" customWidth="1"/>
    <col min="1545" max="1545" width="12" customWidth="1"/>
    <col min="1546" max="1546" width="9.33203125" bestFit="1" customWidth="1"/>
    <col min="1792" max="1792" width="4.6640625" customWidth="1"/>
    <col min="1793" max="1793" width="41.88671875" customWidth="1"/>
    <col min="1794" max="1794" width="15.5546875" customWidth="1"/>
    <col min="1795" max="1797" width="0" hidden="1" customWidth="1"/>
    <col min="1798" max="1798" width="22.44140625" bestFit="1" customWidth="1"/>
    <col min="1799" max="1799" width="12" bestFit="1" customWidth="1"/>
    <col min="1800" max="1800" width="11" bestFit="1" customWidth="1"/>
    <col min="1801" max="1801" width="12" customWidth="1"/>
    <col min="1802" max="1802" width="9.33203125" bestFit="1" customWidth="1"/>
    <col min="2048" max="2048" width="4.6640625" customWidth="1"/>
    <col min="2049" max="2049" width="41.88671875" customWidth="1"/>
    <col min="2050" max="2050" width="15.5546875" customWidth="1"/>
    <col min="2051" max="2053" width="0" hidden="1" customWidth="1"/>
    <col min="2054" max="2054" width="22.44140625" bestFit="1" customWidth="1"/>
    <col min="2055" max="2055" width="12" bestFit="1" customWidth="1"/>
    <col min="2056" max="2056" width="11" bestFit="1" customWidth="1"/>
    <col min="2057" max="2057" width="12" customWidth="1"/>
    <col min="2058" max="2058" width="9.33203125" bestFit="1" customWidth="1"/>
    <col min="2304" max="2304" width="4.6640625" customWidth="1"/>
    <col min="2305" max="2305" width="41.88671875" customWidth="1"/>
    <col min="2306" max="2306" width="15.5546875" customWidth="1"/>
    <col min="2307" max="2309" width="0" hidden="1" customWidth="1"/>
    <col min="2310" max="2310" width="22.44140625" bestFit="1" customWidth="1"/>
    <col min="2311" max="2311" width="12" bestFit="1" customWidth="1"/>
    <col min="2312" max="2312" width="11" bestFit="1" customWidth="1"/>
    <col min="2313" max="2313" width="12" customWidth="1"/>
    <col min="2314" max="2314" width="9.33203125" bestFit="1" customWidth="1"/>
    <col min="2560" max="2560" width="4.6640625" customWidth="1"/>
    <col min="2561" max="2561" width="41.88671875" customWidth="1"/>
    <col min="2562" max="2562" width="15.5546875" customWidth="1"/>
    <col min="2563" max="2565" width="0" hidden="1" customWidth="1"/>
    <col min="2566" max="2566" width="22.44140625" bestFit="1" customWidth="1"/>
    <col min="2567" max="2567" width="12" bestFit="1" customWidth="1"/>
    <col min="2568" max="2568" width="11" bestFit="1" customWidth="1"/>
    <col min="2569" max="2569" width="12" customWidth="1"/>
    <col min="2570" max="2570" width="9.33203125" bestFit="1" customWidth="1"/>
    <col min="2816" max="2816" width="4.6640625" customWidth="1"/>
    <col min="2817" max="2817" width="41.88671875" customWidth="1"/>
    <col min="2818" max="2818" width="15.5546875" customWidth="1"/>
    <col min="2819" max="2821" width="0" hidden="1" customWidth="1"/>
    <col min="2822" max="2822" width="22.44140625" bestFit="1" customWidth="1"/>
    <col min="2823" max="2823" width="12" bestFit="1" customWidth="1"/>
    <col min="2824" max="2824" width="11" bestFit="1" customWidth="1"/>
    <col min="2825" max="2825" width="12" customWidth="1"/>
    <col min="2826" max="2826" width="9.33203125" bestFit="1" customWidth="1"/>
    <col min="3072" max="3072" width="4.6640625" customWidth="1"/>
    <col min="3073" max="3073" width="41.88671875" customWidth="1"/>
    <col min="3074" max="3074" width="15.5546875" customWidth="1"/>
    <col min="3075" max="3077" width="0" hidden="1" customWidth="1"/>
    <col min="3078" max="3078" width="22.44140625" bestFit="1" customWidth="1"/>
    <col min="3079" max="3079" width="12" bestFit="1" customWidth="1"/>
    <col min="3080" max="3080" width="11" bestFit="1" customWidth="1"/>
    <col min="3081" max="3081" width="12" customWidth="1"/>
    <col min="3082" max="3082" width="9.33203125" bestFit="1" customWidth="1"/>
    <col min="3328" max="3328" width="4.6640625" customWidth="1"/>
    <col min="3329" max="3329" width="41.88671875" customWidth="1"/>
    <col min="3330" max="3330" width="15.5546875" customWidth="1"/>
    <col min="3331" max="3333" width="0" hidden="1" customWidth="1"/>
    <col min="3334" max="3334" width="22.44140625" bestFit="1" customWidth="1"/>
    <col min="3335" max="3335" width="12" bestFit="1" customWidth="1"/>
    <col min="3336" max="3336" width="11" bestFit="1" customWidth="1"/>
    <col min="3337" max="3337" width="12" customWidth="1"/>
    <col min="3338" max="3338" width="9.33203125" bestFit="1" customWidth="1"/>
    <col min="3584" max="3584" width="4.6640625" customWidth="1"/>
    <col min="3585" max="3585" width="41.88671875" customWidth="1"/>
    <col min="3586" max="3586" width="15.5546875" customWidth="1"/>
    <col min="3587" max="3589" width="0" hidden="1" customWidth="1"/>
    <col min="3590" max="3590" width="22.44140625" bestFit="1" customWidth="1"/>
    <col min="3591" max="3591" width="12" bestFit="1" customWidth="1"/>
    <col min="3592" max="3592" width="11" bestFit="1" customWidth="1"/>
    <col min="3593" max="3593" width="12" customWidth="1"/>
    <col min="3594" max="3594" width="9.33203125" bestFit="1" customWidth="1"/>
    <col min="3840" max="3840" width="4.6640625" customWidth="1"/>
    <col min="3841" max="3841" width="41.88671875" customWidth="1"/>
    <col min="3842" max="3842" width="15.5546875" customWidth="1"/>
    <col min="3843" max="3845" width="0" hidden="1" customWidth="1"/>
    <col min="3846" max="3846" width="22.44140625" bestFit="1" customWidth="1"/>
    <col min="3847" max="3847" width="12" bestFit="1" customWidth="1"/>
    <col min="3848" max="3848" width="11" bestFit="1" customWidth="1"/>
    <col min="3849" max="3849" width="12" customWidth="1"/>
    <col min="3850" max="3850" width="9.33203125" bestFit="1" customWidth="1"/>
    <col min="4096" max="4096" width="4.6640625" customWidth="1"/>
    <col min="4097" max="4097" width="41.88671875" customWidth="1"/>
    <col min="4098" max="4098" width="15.5546875" customWidth="1"/>
    <col min="4099" max="4101" width="0" hidden="1" customWidth="1"/>
    <col min="4102" max="4102" width="22.44140625" bestFit="1" customWidth="1"/>
    <col min="4103" max="4103" width="12" bestFit="1" customWidth="1"/>
    <col min="4104" max="4104" width="11" bestFit="1" customWidth="1"/>
    <col min="4105" max="4105" width="12" customWidth="1"/>
    <col min="4106" max="4106" width="9.33203125" bestFit="1" customWidth="1"/>
    <col min="4352" max="4352" width="4.6640625" customWidth="1"/>
    <col min="4353" max="4353" width="41.88671875" customWidth="1"/>
    <col min="4354" max="4354" width="15.5546875" customWidth="1"/>
    <col min="4355" max="4357" width="0" hidden="1" customWidth="1"/>
    <col min="4358" max="4358" width="22.44140625" bestFit="1" customWidth="1"/>
    <col min="4359" max="4359" width="12" bestFit="1" customWidth="1"/>
    <col min="4360" max="4360" width="11" bestFit="1" customWidth="1"/>
    <col min="4361" max="4361" width="12" customWidth="1"/>
    <col min="4362" max="4362" width="9.33203125" bestFit="1" customWidth="1"/>
    <col min="4608" max="4608" width="4.6640625" customWidth="1"/>
    <col min="4609" max="4609" width="41.88671875" customWidth="1"/>
    <col min="4610" max="4610" width="15.5546875" customWidth="1"/>
    <col min="4611" max="4613" width="0" hidden="1" customWidth="1"/>
    <col min="4614" max="4614" width="22.44140625" bestFit="1" customWidth="1"/>
    <col min="4615" max="4615" width="12" bestFit="1" customWidth="1"/>
    <col min="4616" max="4616" width="11" bestFit="1" customWidth="1"/>
    <col min="4617" max="4617" width="12" customWidth="1"/>
    <col min="4618" max="4618" width="9.33203125" bestFit="1" customWidth="1"/>
    <col min="4864" max="4864" width="4.6640625" customWidth="1"/>
    <col min="4865" max="4865" width="41.88671875" customWidth="1"/>
    <col min="4866" max="4866" width="15.5546875" customWidth="1"/>
    <col min="4867" max="4869" width="0" hidden="1" customWidth="1"/>
    <col min="4870" max="4870" width="22.44140625" bestFit="1" customWidth="1"/>
    <col min="4871" max="4871" width="12" bestFit="1" customWidth="1"/>
    <col min="4872" max="4872" width="11" bestFit="1" customWidth="1"/>
    <col min="4873" max="4873" width="12" customWidth="1"/>
    <col min="4874" max="4874" width="9.33203125" bestFit="1" customWidth="1"/>
    <col min="5120" max="5120" width="4.6640625" customWidth="1"/>
    <col min="5121" max="5121" width="41.88671875" customWidth="1"/>
    <col min="5122" max="5122" width="15.5546875" customWidth="1"/>
    <col min="5123" max="5125" width="0" hidden="1" customWidth="1"/>
    <col min="5126" max="5126" width="22.44140625" bestFit="1" customWidth="1"/>
    <col min="5127" max="5127" width="12" bestFit="1" customWidth="1"/>
    <col min="5128" max="5128" width="11" bestFit="1" customWidth="1"/>
    <col min="5129" max="5129" width="12" customWidth="1"/>
    <col min="5130" max="5130" width="9.33203125" bestFit="1" customWidth="1"/>
    <col min="5376" max="5376" width="4.6640625" customWidth="1"/>
    <col min="5377" max="5377" width="41.88671875" customWidth="1"/>
    <col min="5378" max="5378" width="15.5546875" customWidth="1"/>
    <col min="5379" max="5381" width="0" hidden="1" customWidth="1"/>
    <col min="5382" max="5382" width="22.44140625" bestFit="1" customWidth="1"/>
    <col min="5383" max="5383" width="12" bestFit="1" customWidth="1"/>
    <col min="5384" max="5384" width="11" bestFit="1" customWidth="1"/>
    <col min="5385" max="5385" width="12" customWidth="1"/>
    <col min="5386" max="5386" width="9.33203125" bestFit="1" customWidth="1"/>
    <col min="5632" max="5632" width="4.6640625" customWidth="1"/>
    <col min="5633" max="5633" width="41.88671875" customWidth="1"/>
    <col min="5634" max="5634" width="15.5546875" customWidth="1"/>
    <col min="5635" max="5637" width="0" hidden="1" customWidth="1"/>
    <col min="5638" max="5638" width="22.44140625" bestFit="1" customWidth="1"/>
    <col min="5639" max="5639" width="12" bestFit="1" customWidth="1"/>
    <col min="5640" max="5640" width="11" bestFit="1" customWidth="1"/>
    <col min="5641" max="5641" width="12" customWidth="1"/>
    <col min="5642" max="5642" width="9.33203125" bestFit="1" customWidth="1"/>
    <col min="5888" max="5888" width="4.6640625" customWidth="1"/>
    <col min="5889" max="5889" width="41.88671875" customWidth="1"/>
    <col min="5890" max="5890" width="15.5546875" customWidth="1"/>
    <col min="5891" max="5893" width="0" hidden="1" customWidth="1"/>
    <col min="5894" max="5894" width="22.44140625" bestFit="1" customWidth="1"/>
    <col min="5895" max="5895" width="12" bestFit="1" customWidth="1"/>
    <col min="5896" max="5896" width="11" bestFit="1" customWidth="1"/>
    <col min="5897" max="5897" width="12" customWidth="1"/>
    <col min="5898" max="5898" width="9.33203125" bestFit="1" customWidth="1"/>
    <col min="6144" max="6144" width="4.6640625" customWidth="1"/>
    <col min="6145" max="6145" width="41.88671875" customWidth="1"/>
    <col min="6146" max="6146" width="15.5546875" customWidth="1"/>
    <col min="6147" max="6149" width="0" hidden="1" customWidth="1"/>
    <col min="6150" max="6150" width="22.44140625" bestFit="1" customWidth="1"/>
    <col min="6151" max="6151" width="12" bestFit="1" customWidth="1"/>
    <col min="6152" max="6152" width="11" bestFit="1" customWidth="1"/>
    <col min="6153" max="6153" width="12" customWidth="1"/>
    <col min="6154" max="6154" width="9.33203125" bestFit="1" customWidth="1"/>
    <col min="6400" max="6400" width="4.6640625" customWidth="1"/>
    <col min="6401" max="6401" width="41.88671875" customWidth="1"/>
    <col min="6402" max="6402" width="15.5546875" customWidth="1"/>
    <col min="6403" max="6405" width="0" hidden="1" customWidth="1"/>
    <col min="6406" max="6406" width="22.44140625" bestFit="1" customWidth="1"/>
    <col min="6407" max="6407" width="12" bestFit="1" customWidth="1"/>
    <col min="6408" max="6408" width="11" bestFit="1" customWidth="1"/>
    <col min="6409" max="6409" width="12" customWidth="1"/>
    <col min="6410" max="6410" width="9.33203125" bestFit="1" customWidth="1"/>
    <col min="6656" max="6656" width="4.6640625" customWidth="1"/>
    <col min="6657" max="6657" width="41.88671875" customWidth="1"/>
    <col min="6658" max="6658" width="15.5546875" customWidth="1"/>
    <col min="6659" max="6661" width="0" hidden="1" customWidth="1"/>
    <col min="6662" max="6662" width="22.44140625" bestFit="1" customWidth="1"/>
    <col min="6663" max="6663" width="12" bestFit="1" customWidth="1"/>
    <col min="6664" max="6664" width="11" bestFit="1" customWidth="1"/>
    <col min="6665" max="6665" width="12" customWidth="1"/>
    <col min="6666" max="6666" width="9.33203125" bestFit="1" customWidth="1"/>
    <col min="6912" max="6912" width="4.6640625" customWidth="1"/>
    <col min="6913" max="6913" width="41.88671875" customWidth="1"/>
    <col min="6914" max="6914" width="15.5546875" customWidth="1"/>
    <col min="6915" max="6917" width="0" hidden="1" customWidth="1"/>
    <col min="6918" max="6918" width="22.44140625" bestFit="1" customWidth="1"/>
    <col min="6919" max="6919" width="12" bestFit="1" customWidth="1"/>
    <col min="6920" max="6920" width="11" bestFit="1" customWidth="1"/>
    <col min="6921" max="6921" width="12" customWidth="1"/>
    <col min="6922" max="6922" width="9.33203125" bestFit="1" customWidth="1"/>
    <col min="7168" max="7168" width="4.6640625" customWidth="1"/>
    <col min="7169" max="7169" width="41.88671875" customWidth="1"/>
    <col min="7170" max="7170" width="15.5546875" customWidth="1"/>
    <col min="7171" max="7173" width="0" hidden="1" customWidth="1"/>
    <col min="7174" max="7174" width="22.44140625" bestFit="1" customWidth="1"/>
    <col min="7175" max="7175" width="12" bestFit="1" customWidth="1"/>
    <col min="7176" max="7176" width="11" bestFit="1" customWidth="1"/>
    <col min="7177" max="7177" width="12" customWidth="1"/>
    <col min="7178" max="7178" width="9.33203125" bestFit="1" customWidth="1"/>
    <col min="7424" max="7424" width="4.6640625" customWidth="1"/>
    <col min="7425" max="7425" width="41.88671875" customWidth="1"/>
    <col min="7426" max="7426" width="15.5546875" customWidth="1"/>
    <col min="7427" max="7429" width="0" hidden="1" customWidth="1"/>
    <col min="7430" max="7430" width="22.44140625" bestFit="1" customWidth="1"/>
    <col min="7431" max="7431" width="12" bestFit="1" customWidth="1"/>
    <col min="7432" max="7432" width="11" bestFit="1" customWidth="1"/>
    <col min="7433" max="7433" width="12" customWidth="1"/>
    <col min="7434" max="7434" width="9.33203125" bestFit="1" customWidth="1"/>
    <col min="7680" max="7680" width="4.6640625" customWidth="1"/>
    <col min="7681" max="7681" width="41.88671875" customWidth="1"/>
    <col min="7682" max="7682" width="15.5546875" customWidth="1"/>
    <col min="7683" max="7685" width="0" hidden="1" customWidth="1"/>
    <col min="7686" max="7686" width="22.44140625" bestFit="1" customWidth="1"/>
    <col min="7687" max="7687" width="12" bestFit="1" customWidth="1"/>
    <col min="7688" max="7688" width="11" bestFit="1" customWidth="1"/>
    <col min="7689" max="7689" width="12" customWidth="1"/>
    <col min="7690" max="7690" width="9.33203125" bestFit="1" customWidth="1"/>
    <col min="7936" max="7936" width="4.6640625" customWidth="1"/>
    <col min="7937" max="7937" width="41.88671875" customWidth="1"/>
    <col min="7938" max="7938" width="15.5546875" customWidth="1"/>
    <col min="7939" max="7941" width="0" hidden="1" customWidth="1"/>
    <col min="7942" max="7942" width="22.44140625" bestFit="1" customWidth="1"/>
    <col min="7943" max="7943" width="12" bestFit="1" customWidth="1"/>
    <col min="7944" max="7944" width="11" bestFit="1" customWidth="1"/>
    <col min="7945" max="7945" width="12" customWidth="1"/>
    <col min="7946" max="7946" width="9.33203125" bestFit="1" customWidth="1"/>
    <col min="8192" max="8192" width="4.6640625" customWidth="1"/>
    <col min="8193" max="8193" width="41.88671875" customWidth="1"/>
    <col min="8194" max="8194" width="15.5546875" customWidth="1"/>
    <col min="8195" max="8197" width="0" hidden="1" customWidth="1"/>
    <col min="8198" max="8198" width="22.44140625" bestFit="1" customWidth="1"/>
    <col min="8199" max="8199" width="12" bestFit="1" customWidth="1"/>
    <col min="8200" max="8200" width="11" bestFit="1" customWidth="1"/>
    <col min="8201" max="8201" width="12" customWidth="1"/>
    <col min="8202" max="8202" width="9.33203125" bestFit="1" customWidth="1"/>
    <col min="8448" max="8448" width="4.6640625" customWidth="1"/>
    <col min="8449" max="8449" width="41.88671875" customWidth="1"/>
    <col min="8450" max="8450" width="15.5546875" customWidth="1"/>
    <col min="8451" max="8453" width="0" hidden="1" customWidth="1"/>
    <col min="8454" max="8454" width="22.44140625" bestFit="1" customWidth="1"/>
    <col min="8455" max="8455" width="12" bestFit="1" customWidth="1"/>
    <col min="8456" max="8456" width="11" bestFit="1" customWidth="1"/>
    <col min="8457" max="8457" width="12" customWidth="1"/>
    <col min="8458" max="8458" width="9.33203125" bestFit="1" customWidth="1"/>
    <col min="8704" max="8704" width="4.6640625" customWidth="1"/>
    <col min="8705" max="8705" width="41.88671875" customWidth="1"/>
    <col min="8706" max="8706" width="15.5546875" customWidth="1"/>
    <col min="8707" max="8709" width="0" hidden="1" customWidth="1"/>
    <col min="8710" max="8710" width="22.44140625" bestFit="1" customWidth="1"/>
    <col min="8711" max="8711" width="12" bestFit="1" customWidth="1"/>
    <col min="8712" max="8712" width="11" bestFit="1" customWidth="1"/>
    <col min="8713" max="8713" width="12" customWidth="1"/>
    <col min="8714" max="8714" width="9.33203125" bestFit="1" customWidth="1"/>
    <col min="8960" max="8960" width="4.6640625" customWidth="1"/>
    <col min="8961" max="8961" width="41.88671875" customWidth="1"/>
    <col min="8962" max="8962" width="15.5546875" customWidth="1"/>
    <col min="8963" max="8965" width="0" hidden="1" customWidth="1"/>
    <col min="8966" max="8966" width="22.44140625" bestFit="1" customWidth="1"/>
    <col min="8967" max="8967" width="12" bestFit="1" customWidth="1"/>
    <col min="8968" max="8968" width="11" bestFit="1" customWidth="1"/>
    <col min="8969" max="8969" width="12" customWidth="1"/>
    <col min="8970" max="8970" width="9.33203125" bestFit="1" customWidth="1"/>
    <col min="9216" max="9216" width="4.6640625" customWidth="1"/>
    <col min="9217" max="9217" width="41.88671875" customWidth="1"/>
    <col min="9218" max="9218" width="15.5546875" customWidth="1"/>
    <col min="9219" max="9221" width="0" hidden="1" customWidth="1"/>
    <col min="9222" max="9222" width="22.44140625" bestFit="1" customWidth="1"/>
    <col min="9223" max="9223" width="12" bestFit="1" customWidth="1"/>
    <col min="9224" max="9224" width="11" bestFit="1" customWidth="1"/>
    <col min="9225" max="9225" width="12" customWidth="1"/>
    <col min="9226" max="9226" width="9.33203125" bestFit="1" customWidth="1"/>
    <col min="9472" max="9472" width="4.6640625" customWidth="1"/>
    <col min="9473" max="9473" width="41.88671875" customWidth="1"/>
    <col min="9474" max="9474" width="15.5546875" customWidth="1"/>
    <col min="9475" max="9477" width="0" hidden="1" customWidth="1"/>
    <col min="9478" max="9478" width="22.44140625" bestFit="1" customWidth="1"/>
    <col min="9479" max="9479" width="12" bestFit="1" customWidth="1"/>
    <col min="9480" max="9480" width="11" bestFit="1" customWidth="1"/>
    <col min="9481" max="9481" width="12" customWidth="1"/>
    <col min="9482" max="9482" width="9.33203125" bestFit="1" customWidth="1"/>
    <col min="9728" max="9728" width="4.6640625" customWidth="1"/>
    <col min="9729" max="9729" width="41.88671875" customWidth="1"/>
    <col min="9730" max="9730" width="15.5546875" customWidth="1"/>
    <col min="9731" max="9733" width="0" hidden="1" customWidth="1"/>
    <col min="9734" max="9734" width="22.44140625" bestFit="1" customWidth="1"/>
    <col min="9735" max="9735" width="12" bestFit="1" customWidth="1"/>
    <col min="9736" max="9736" width="11" bestFit="1" customWidth="1"/>
    <col min="9737" max="9737" width="12" customWidth="1"/>
    <col min="9738" max="9738" width="9.33203125" bestFit="1" customWidth="1"/>
    <col min="9984" max="9984" width="4.6640625" customWidth="1"/>
    <col min="9985" max="9985" width="41.88671875" customWidth="1"/>
    <col min="9986" max="9986" width="15.5546875" customWidth="1"/>
    <col min="9987" max="9989" width="0" hidden="1" customWidth="1"/>
    <col min="9990" max="9990" width="22.44140625" bestFit="1" customWidth="1"/>
    <col min="9991" max="9991" width="12" bestFit="1" customWidth="1"/>
    <col min="9992" max="9992" width="11" bestFit="1" customWidth="1"/>
    <col min="9993" max="9993" width="12" customWidth="1"/>
    <col min="9994" max="9994" width="9.33203125" bestFit="1" customWidth="1"/>
    <col min="10240" max="10240" width="4.6640625" customWidth="1"/>
    <col min="10241" max="10241" width="41.88671875" customWidth="1"/>
    <col min="10242" max="10242" width="15.5546875" customWidth="1"/>
    <col min="10243" max="10245" width="0" hidden="1" customWidth="1"/>
    <col min="10246" max="10246" width="22.44140625" bestFit="1" customWidth="1"/>
    <col min="10247" max="10247" width="12" bestFit="1" customWidth="1"/>
    <col min="10248" max="10248" width="11" bestFit="1" customWidth="1"/>
    <col min="10249" max="10249" width="12" customWidth="1"/>
    <col min="10250" max="10250" width="9.33203125" bestFit="1" customWidth="1"/>
    <col min="10496" max="10496" width="4.6640625" customWidth="1"/>
    <col min="10497" max="10497" width="41.88671875" customWidth="1"/>
    <col min="10498" max="10498" width="15.5546875" customWidth="1"/>
    <col min="10499" max="10501" width="0" hidden="1" customWidth="1"/>
    <col min="10502" max="10502" width="22.44140625" bestFit="1" customWidth="1"/>
    <col min="10503" max="10503" width="12" bestFit="1" customWidth="1"/>
    <col min="10504" max="10504" width="11" bestFit="1" customWidth="1"/>
    <col min="10505" max="10505" width="12" customWidth="1"/>
    <col min="10506" max="10506" width="9.33203125" bestFit="1" customWidth="1"/>
    <col min="10752" max="10752" width="4.6640625" customWidth="1"/>
    <col min="10753" max="10753" width="41.88671875" customWidth="1"/>
    <col min="10754" max="10754" width="15.5546875" customWidth="1"/>
    <col min="10755" max="10757" width="0" hidden="1" customWidth="1"/>
    <col min="10758" max="10758" width="22.44140625" bestFit="1" customWidth="1"/>
    <col min="10759" max="10759" width="12" bestFit="1" customWidth="1"/>
    <col min="10760" max="10760" width="11" bestFit="1" customWidth="1"/>
    <col min="10761" max="10761" width="12" customWidth="1"/>
    <col min="10762" max="10762" width="9.33203125" bestFit="1" customWidth="1"/>
    <col min="11008" max="11008" width="4.6640625" customWidth="1"/>
    <col min="11009" max="11009" width="41.88671875" customWidth="1"/>
    <col min="11010" max="11010" width="15.5546875" customWidth="1"/>
    <col min="11011" max="11013" width="0" hidden="1" customWidth="1"/>
    <col min="11014" max="11014" width="22.44140625" bestFit="1" customWidth="1"/>
    <col min="11015" max="11015" width="12" bestFit="1" customWidth="1"/>
    <col min="11016" max="11016" width="11" bestFit="1" customWidth="1"/>
    <col min="11017" max="11017" width="12" customWidth="1"/>
    <col min="11018" max="11018" width="9.33203125" bestFit="1" customWidth="1"/>
    <col min="11264" max="11264" width="4.6640625" customWidth="1"/>
    <col min="11265" max="11265" width="41.88671875" customWidth="1"/>
    <col min="11266" max="11266" width="15.5546875" customWidth="1"/>
    <col min="11267" max="11269" width="0" hidden="1" customWidth="1"/>
    <col min="11270" max="11270" width="22.44140625" bestFit="1" customWidth="1"/>
    <col min="11271" max="11271" width="12" bestFit="1" customWidth="1"/>
    <col min="11272" max="11272" width="11" bestFit="1" customWidth="1"/>
    <col min="11273" max="11273" width="12" customWidth="1"/>
    <col min="11274" max="11274" width="9.33203125" bestFit="1" customWidth="1"/>
    <col min="11520" max="11520" width="4.6640625" customWidth="1"/>
    <col min="11521" max="11521" width="41.88671875" customWidth="1"/>
    <col min="11522" max="11522" width="15.5546875" customWidth="1"/>
    <col min="11523" max="11525" width="0" hidden="1" customWidth="1"/>
    <col min="11526" max="11526" width="22.44140625" bestFit="1" customWidth="1"/>
    <col min="11527" max="11527" width="12" bestFit="1" customWidth="1"/>
    <col min="11528" max="11528" width="11" bestFit="1" customWidth="1"/>
    <col min="11529" max="11529" width="12" customWidth="1"/>
    <col min="11530" max="11530" width="9.33203125" bestFit="1" customWidth="1"/>
    <col min="11776" max="11776" width="4.6640625" customWidth="1"/>
    <col min="11777" max="11777" width="41.88671875" customWidth="1"/>
    <col min="11778" max="11778" width="15.5546875" customWidth="1"/>
    <col min="11779" max="11781" width="0" hidden="1" customWidth="1"/>
    <col min="11782" max="11782" width="22.44140625" bestFit="1" customWidth="1"/>
    <col min="11783" max="11783" width="12" bestFit="1" customWidth="1"/>
    <col min="11784" max="11784" width="11" bestFit="1" customWidth="1"/>
    <col min="11785" max="11785" width="12" customWidth="1"/>
    <col min="11786" max="11786" width="9.33203125" bestFit="1" customWidth="1"/>
    <col min="12032" max="12032" width="4.6640625" customWidth="1"/>
    <col min="12033" max="12033" width="41.88671875" customWidth="1"/>
    <col min="12034" max="12034" width="15.5546875" customWidth="1"/>
    <col min="12035" max="12037" width="0" hidden="1" customWidth="1"/>
    <col min="12038" max="12038" width="22.44140625" bestFit="1" customWidth="1"/>
    <col min="12039" max="12039" width="12" bestFit="1" customWidth="1"/>
    <col min="12040" max="12040" width="11" bestFit="1" customWidth="1"/>
    <col min="12041" max="12041" width="12" customWidth="1"/>
    <col min="12042" max="12042" width="9.33203125" bestFit="1" customWidth="1"/>
    <col min="12288" max="12288" width="4.6640625" customWidth="1"/>
    <col min="12289" max="12289" width="41.88671875" customWidth="1"/>
    <col min="12290" max="12290" width="15.5546875" customWidth="1"/>
    <col min="12291" max="12293" width="0" hidden="1" customWidth="1"/>
    <col min="12294" max="12294" width="22.44140625" bestFit="1" customWidth="1"/>
    <col min="12295" max="12295" width="12" bestFit="1" customWidth="1"/>
    <col min="12296" max="12296" width="11" bestFit="1" customWidth="1"/>
    <col min="12297" max="12297" width="12" customWidth="1"/>
    <col min="12298" max="12298" width="9.33203125" bestFit="1" customWidth="1"/>
    <col min="12544" max="12544" width="4.6640625" customWidth="1"/>
    <col min="12545" max="12545" width="41.88671875" customWidth="1"/>
    <col min="12546" max="12546" width="15.5546875" customWidth="1"/>
    <col min="12547" max="12549" width="0" hidden="1" customWidth="1"/>
    <col min="12550" max="12550" width="22.44140625" bestFit="1" customWidth="1"/>
    <col min="12551" max="12551" width="12" bestFit="1" customWidth="1"/>
    <col min="12552" max="12552" width="11" bestFit="1" customWidth="1"/>
    <col min="12553" max="12553" width="12" customWidth="1"/>
    <col min="12554" max="12554" width="9.33203125" bestFit="1" customWidth="1"/>
    <col min="12800" max="12800" width="4.6640625" customWidth="1"/>
    <col min="12801" max="12801" width="41.88671875" customWidth="1"/>
    <col min="12802" max="12802" width="15.5546875" customWidth="1"/>
    <col min="12803" max="12805" width="0" hidden="1" customWidth="1"/>
    <col min="12806" max="12806" width="22.44140625" bestFit="1" customWidth="1"/>
    <col min="12807" max="12807" width="12" bestFit="1" customWidth="1"/>
    <col min="12808" max="12808" width="11" bestFit="1" customWidth="1"/>
    <col min="12809" max="12809" width="12" customWidth="1"/>
    <col min="12810" max="12810" width="9.33203125" bestFit="1" customWidth="1"/>
    <col min="13056" max="13056" width="4.6640625" customWidth="1"/>
    <col min="13057" max="13057" width="41.88671875" customWidth="1"/>
    <col min="13058" max="13058" width="15.5546875" customWidth="1"/>
    <col min="13059" max="13061" width="0" hidden="1" customWidth="1"/>
    <col min="13062" max="13062" width="22.44140625" bestFit="1" customWidth="1"/>
    <col min="13063" max="13063" width="12" bestFit="1" customWidth="1"/>
    <col min="13064" max="13064" width="11" bestFit="1" customWidth="1"/>
    <col min="13065" max="13065" width="12" customWidth="1"/>
    <col min="13066" max="13066" width="9.33203125" bestFit="1" customWidth="1"/>
    <col min="13312" max="13312" width="4.6640625" customWidth="1"/>
    <col min="13313" max="13313" width="41.88671875" customWidth="1"/>
    <col min="13314" max="13314" width="15.5546875" customWidth="1"/>
    <col min="13315" max="13317" width="0" hidden="1" customWidth="1"/>
    <col min="13318" max="13318" width="22.44140625" bestFit="1" customWidth="1"/>
    <col min="13319" max="13319" width="12" bestFit="1" customWidth="1"/>
    <col min="13320" max="13320" width="11" bestFit="1" customWidth="1"/>
    <col min="13321" max="13321" width="12" customWidth="1"/>
    <col min="13322" max="13322" width="9.33203125" bestFit="1" customWidth="1"/>
    <col min="13568" max="13568" width="4.6640625" customWidth="1"/>
    <col min="13569" max="13569" width="41.88671875" customWidth="1"/>
    <col min="13570" max="13570" width="15.5546875" customWidth="1"/>
    <col min="13571" max="13573" width="0" hidden="1" customWidth="1"/>
    <col min="13574" max="13574" width="22.44140625" bestFit="1" customWidth="1"/>
    <col min="13575" max="13575" width="12" bestFit="1" customWidth="1"/>
    <col min="13576" max="13576" width="11" bestFit="1" customWidth="1"/>
    <col min="13577" max="13577" width="12" customWidth="1"/>
    <col min="13578" max="13578" width="9.33203125" bestFit="1" customWidth="1"/>
    <col min="13824" max="13824" width="4.6640625" customWidth="1"/>
    <col min="13825" max="13825" width="41.88671875" customWidth="1"/>
    <col min="13826" max="13826" width="15.5546875" customWidth="1"/>
    <col min="13827" max="13829" width="0" hidden="1" customWidth="1"/>
    <col min="13830" max="13830" width="22.44140625" bestFit="1" customWidth="1"/>
    <col min="13831" max="13831" width="12" bestFit="1" customWidth="1"/>
    <col min="13832" max="13832" width="11" bestFit="1" customWidth="1"/>
    <col min="13833" max="13833" width="12" customWidth="1"/>
    <col min="13834" max="13834" width="9.33203125" bestFit="1" customWidth="1"/>
    <col min="14080" max="14080" width="4.6640625" customWidth="1"/>
    <col min="14081" max="14081" width="41.88671875" customWidth="1"/>
    <col min="14082" max="14082" width="15.5546875" customWidth="1"/>
    <col min="14083" max="14085" width="0" hidden="1" customWidth="1"/>
    <col min="14086" max="14086" width="22.44140625" bestFit="1" customWidth="1"/>
    <col min="14087" max="14087" width="12" bestFit="1" customWidth="1"/>
    <col min="14088" max="14088" width="11" bestFit="1" customWidth="1"/>
    <col min="14089" max="14089" width="12" customWidth="1"/>
    <col min="14090" max="14090" width="9.33203125" bestFit="1" customWidth="1"/>
    <col min="14336" max="14336" width="4.6640625" customWidth="1"/>
    <col min="14337" max="14337" width="41.88671875" customWidth="1"/>
    <col min="14338" max="14338" width="15.5546875" customWidth="1"/>
    <col min="14339" max="14341" width="0" hidden="1" customWidth="1"/>
    <col min="14342" max="14342" width="22.44140625" bestFit="1" customWidth="1"/>
    <col min="14343" max="14343" width="12" bestFit="1" customWidth="1"/>
    <col min="14344" max="14344" width="11" bestFit="1" customWidth="1"/>
    <col min="14345" max="14345" width="12" customWidth="1"/>
    <col min="14346" max="14346" width="9.33203125" bestFit="1" customWidth="1"/>
    <col min="14592" max="14592" width="4.6640625" customWidth="1"/>
    <col min="14593" max="14593" width="41.88671875" customWidth="1"/>
    <col min="14594" max="14594" width="15.5546875" customWidth="1"/>
    <col min="14595" max="14597" width="0" hidden="1" customWidth="1"/>
    <col min="14598" max="14598" width="22.44140625" bestFit="1" customWidth="1"/>
    <col min="14599" max="14599" width="12" bestFit="1" customWidth="1"/>
    <col min="14600" max="14600" width="11" bestFit="1" customWidth="1"/>
    <col min="14601" max="14601" width="12" customWidth="1"/>
    <col min="14602" max="14602" width="9.33203125" bestFit="1" customWidth="1"/>
    <col min="14848" max="14848" width="4.6640625" customWidth="1"/>
    <col min="14849" max="14849" width="41.88671875" customWidth="1"/>
    <col min="14850" max="14850" width="15.5546875" customWidth="1"/>
    <col min="14851" max="14853" width="0" hidden="1" customWidth="1"/>
    <col min="14854" max="14854" width="22.44140625" bestFit="1" customWidth="1"/>
    <col min="14855" max="14855" width="12" bestFit="1" customWidth="1"/>
    <col min="14856" max="14856" width="11" bestFit="1" customWidth="1"/>
    <col min="14857" max="14857" width="12" customWidth="1"/>
    <col min="14858" max="14858" width="9.33203125" bestFit="1" customWidth="1"/>
    <col min="15104" max="15104" width="4.6640625" customWidth="1"/>
    <col min="15105" max="15105" width="41.88671875" customWidth="1"/>
    <col min="15106" max="15106" width="15.5546875" customWidth="1"/>
    <col min="15107" max="15109" width="0" hidden="1" customWidth="1"/>
    <col min="15110" max="15110" width="22.44140625" bestFit="1" customWidth="1"/>
    <col min="15111" max="15111" width="12" bestFit="1" customWidth="1"/>
    <col min="15112" max="15112" width="11" bestFit="1" customWidth="1"/>
    <col min="15113" max="15113" width="12" customWidth="1"/>
    <col min="15114" max="15114" width="9.33203125" bestFit="1" customWidth="1"/>
    <col min="15360" max="15360" width="4.6640625" customWidth="1"/>
    <col min="15361" max="15361" width="41.88671875" customWidth="1"/>
    <col min="15362" max="15362" width="15.5546875" customWidth="1"/>
    <col min="15363" max="15365" width="0" hidden="1" customWidth="1"/>
    <col min="15366" max="15366" width="22.44140625" bestFit="1" customWidth="1"/>
    <col min="15367" max="15367" width="12" bestFit="1" customWidth="1"/>
    <col min="15368" max="15368" width="11" bestFit="1" customWidth="1"/>
    <col min="15369" max="15369" width="12" customWidth="1"/>
    <col min="15370" max="15370" width="9.33203125" bestFit="1" customWidth="1"/>
    <col min="15616" max="15616" width="4.6640625" customWidth="1"/>
    <col min="15617" max="15617" width="41.88671875" customWidth="1"/>
    <col min="15618" max="15618" width="15.5546875" customWidth="1"/>
    <col min="15619" max="15621" width="0" hidden="1" customWidth="1"/>
    <col min="15622" max="15622" width="22.44140625" bestFit="1" customWidth="1"/>
    <col min="15623" max="15623" width="12" bestFit="1" customWidth="1"/>
    <col min="15624" max="15624" width="11" bestFit="1" customWidth="1"/>
    <col min="15625" max="15625" width="12" customWidth="1"/>
    <col min="15626" max="15626" width="9.33203125" bestFit="1" customWidth="1"/>
    <col min="15872" max="15872" width="4.6640625" customWidth="1"/>
    <col min="15873" max="15873" width="41.88671875" customWidth="1"/>
    <col min="15874" max="15874" width="15.5546875" customWidth="1"/>
    <col min="15875" max="15877" width="0" hidden="1" customWidth="1"/>
    <col min="15878" max="15878" width="22.44140625" bestFit="1" customWidth="1"/>
    <col min="15879" max="15879" width="12" bestFit="1" customWidth="1"/>
    <col min="15880" max="15880" width="11" bestFit="1" customWidth="1"/>
    <col min="15881" max="15881" width="12" customWidth="1"/>
    <col min="15882" max="15882" width="9.33203125" bestFit="1" customWidth="1"/>
    <col min="16128" max="16128" width="4.6640625" customWidth="1"/>
    <col min="16129" max="16129" width="41.88671875" customWidth="1"/>
    <col min="16130" max="16130" width="15.5546875" customWidth="1"/>
    <col min="16131" max="16133" width="0" hidden="1" customWidth="1"/>
    <col min="16134" max="16134" width="22.44140625" bestFit="1" customWidth="1"/>
    <col min="16135" max="16135" width="12" bestFit="1" customWidth="1"/>
    <col min="16136" max="16136" width="11" bestFit="1" customWidth="1"/>
    <col min="16137" max="16137" width="12" customWidth="1"/>
    <col min="16138" max="16138" width="9.33203125" bestFit="1" customWidth="1"/>
  </cols>
  <sheetData>
    <row r="1" spans="1:12" x14ac:dyDescent="0.3">
      <c r="C1" s="106" t="s">
        <v>81</v>
      </c>
      <c r="D1" s="106"/>
      <c r="E1" s="106"/>
      <c r="F1" s="106"/>
    </row>
    <row r="2" spans="1:12" x14ac:dyDescent="0.3">
      <c r="C2" s="1" t="s">
        <v>83</v>
      </c>
      <c r="D2" s="1"/>
      <c r="E2" s="1"/>
      <c r="F2" s="1"/>
    </row>
    <row r="3" spans="1:12" ht="16.5" customHeight="1" x14ac:dyDescent="0.3">
      <c r="C3" s="1"/>
      <c r="D3" s="1"/>
      <c r="E3" s="1"/>
      <c r="F3" s="1"/>
    </row>
    <row r="4" spans="1:12" ht="19.5" hidden="1" customHeight="1" x14ac:dyDescent="0.3">
      <c r="B4" s="1"/>
      <c r="C4" s="1"/>
      <c r="D4" s="1"/>
      <c r="E4" s="1"/>
      <c r="F4" s="1"/>
      <c r="G4" s="1"/>
    </row>
    <row r="5" spans="1:12" ht="15.6" x14ac:dyDescent="0.3">
      <c r="A5" s="139" t="s">
        <v>0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2" ht="42" customHeight="1" x14ac:dyDescent="0.3">
      <c r="A6" s="140" t="s">
        <v>82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2" hidden="1" x14ac:dyDescent="0.3">
      <c r="A7" s="141" t="s">
        <v>77</v>
      </c>
      <c r="B7" s="141"/>
      <c r="C7" s="141"/>
      <c r="D7" s="141"/>
      <c r="E7" s="141"/>
      <c r="F7" s="141"/>
      <c r="G7" s="141"/>
      <c r="H7" s="141"/>
      <c r="I7" s="141"/>
      <c r="J7" s="141"/>
    </row>
    <row r="8" spans="1:12" hidden="1" x14ac:dyDescent="0.3">
      <c r="A8" s="2"/>
      <c r="B8" s="2"/>
      <c r="C8" s="2"/>
      <c r="D8" s="2"/>
      <c r="E8" s="2"/>
      <c r="F8" s="2"/>
    </row>
    <row r="9" spans="1:12" ht="15" thickBot="1" x14ac:dyDescent="0.35">
      <c r="A9" s="2"/>
      <c r="B9" s="2"/>
      <c r="C9" s="2"/>
      <c r="D9" s="2"/>
      <c r="E9" s="2"/>
      <c r="F9" s="2"/>
      <c r="G9" s="3">
        <v>2.5</v>
      </c>
    </row>
    <row r="10" spans="1:12" ht="42.6" customHeight="1" thickBot="1" x14ac:dyDescent="0.35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4</v>
      </c>
      <c r="G10" s="5" t="s">
        <v>4</v>
      </c>
      <c r="H10" s="50" t="s">
        <v>78</v>
      </c>
      <c r="I10" s="6" t="s">
        <v>79</v>
      </c>
      <c r="J10" s="6" t="s">
        <v>79</v>
      </c>
    </row>
    <row r="11" spans="1:12" ht="15" thickBot="1" x14ac:dyDescent="0.35">
      <c r="A11" s="68">
        <v>1</v>
      </c>
      <c r="B11" s="69">
        <v>2</v>
      </c>
      <c r="C11" s="69">
        <v>3</v>
      </c>
      <c r="D11" s="69">
        <v>4</v>
      </c>
      <c r="E11" s="69">
        <v>5</v>
      </c>
      <c r="F11" s="69">
        <v>4</v>
      </c>
      <c r="G11" s="69">
        <v>4</v>
      </c>
      <c r="H11" s="69">
        <v>5</v>
      </c>
      <c r="I11" s="70">
        <v>6</v>
      </c>
      <c r="J11" s="69">
        <v>4</v>
      </c>
    </row>
    <row r="12" spans="1:12" ht="16.8" customHeight="1" thickBot="1" x14ac:dyDescent="0.35">
      <c r="A12" s="107" t="str">
        <f>'[1]Калькуляции '!C7</f>
        <v>Электротехнические услуги</v>
      </c>
      <c r="B12" s="108"/>
      <c r="C12" s="108"/>
      <c r="D12" s="108"/>
      <c r="E12" s="108"/>
      <c r="F12" s="108"/>
      <c r="G12" s="108"/>
      <c r="H12" s="51"/>
      <c r="I12" s="72"/>
      <c r="J12" s="52"/>
    </row>
    <row r="13" spans="1:12" ht="29.4" customHeight="1" x14ac:dyDescent="0.3">
      <c r="A13" s="40">
        <f>'[1]Калькуляции '!B8</f>
        <v>1</v>
      </c>
      <c r="B13" s="80" t="str">
        <f>'[1]Калькуляции '!C8</f>
        <v>Замена неисправных участков сети электропровода:</v>
      </c>
      <c r="C13" s="81"/>
      <c r="D13" s="73"/>
      <c r="E13" s="73"/>
      <c r="F13" s="82"/>
      <c r="G13" s="73"/>
      <c r="H13" s="73"/>
      <c r="I13" s="83"/>
      <c r="J13" s="84"/>
    </row>
    <row r="14" spans="1:12" x14ac:dyDescent="0.3">
      <c r="A14" s="7"/>
      <c r="B14" s="8" t="str">
        <f>'[1]Калькуляции '!C9</f>
        <v>2х1,5; 2х2,5</v>
      </c>
      <c r="C14" s="71" t="str">
        <f>'[1]Калькуляции '!D9</f>
        <v>1м</v>
      </c>
      <c r="D14" s="11">
        <f>F14-E14</f>
        <v>33.898400000000002</v>
      </c>
      <c r="E14" s="11">
        <f>F14*15.254%</f>
        <v>6.1016000000000004</v>
      </c>
      <c r="F14" s="12">
        <f>'[1]Калькуляции '!R9-4</f>
        <v>40</v>
      </c>
      <c r="G14" s="12">
        <f>F14*$G$9</f>
        <v>100</v>
      </c>
      <c r="H14" s="53">
        <f>G14*5%</f>
        <v>5</v>
      </c>
      <c r="I14" s="66">
        <f>G14+H14</f>
        <v>105</v>
      </c>
      <c r="J14" s="85">
        <f>ROUND(I14,-1)</f>
        <v>110</v>
      </c>
      <c r="L14" s="67"/>
    </row>
    <row r="15" spans="1:12" x14ac:dyDescent="0.3">
      <c r="A15" s="7"/>
      <c r="B15" s="8" t="str">
        <f>'[1]Калькуляции '!C10</f>
        <v>3х1,5; 3х2,5</v>
      </c>
      <c r="C15" s="71" t="str">
        <f>'[1]Калькуляции '!D10</f>
        <v xml:space="preserve">1м </v>
      </c>
      <c r="D15" s="11">
        <f t="shared" ref="D15:D34" si="0">F15-E15</f>
        <v>50.8476</v>
      </c>
      <c r="E15" s="11">
        <f t="shared" ref="E15:E34" si="1">F15*15.254%</f>
        <v>9.1524000000000001</v>
      </c>
      <c r="F15" s="12">
        <f>'[1]Калькуляции '!R10+5</f>
        <v>60</v>
      </c>
      <c r="G15" s="12">
        <f>F15*$G$9</f>
        <v>150</v>
      </c>
      <c r="H15" s="53">
        <f t="shared" ref="H15:H78" si="2">G15*5%</f>
        <v>7.5</v>
      </c>
      <c r="I15" s="66">
        <f>G15+H15-0.5</f>
        <v>157</v>
      </c>
      <c r="J15" s="85">
        <f t="shared" ref="J15:J78" si="3">ROUND(I15,-1)</f>
        <v>160</v>
      </c>
    </row>
    <row r="16" spans="1:12" x14ac:dyDescent="0.3">
      <c r="A16" s="7">
        <v>2</v>
      </c>
      <c r="B16" s="8" t="str">
        <f>'[1]Калькуляции '!C12</f>
        <v>Ремонт штепсельных розеток</v>
      </c>
      <c r="C16" s="71" t="s">
        <v>6</v>
      </c>
      <c r="D16" s="11">
        <f t="shared" si="0"/>
        <v>127.119</v>
      </c>
      <c r="E16" s="11">
        <f t="shared" si="1"/>
        <v>22.881</v>
      </c>
      <c r="F16" s="12">
        <f>'[1]Калькуляции '!R12-3</f>
        <v>150</v>
      </c>
      <c r="G16" s="12">
        <f>F16*$G$9+5</f>
        <v>380</v>
      </c>
      <c r="H16" s="53">
        <f t="shared" si="2"/>
        <v>19</v>
      </c>
      <c r="I16" s="66">
        <f t="shared" ref="I16:I36" si="4">G16+H16</f>
        <v>399</v>
      </c>
      <c r="J16" s="85">
        <f t="shared" si="3"/>
        <v>400</v>
      </c>
    </row>
    <row r="17" spans="1:10" ht="16.2" customHeight="1" x14ac:dyDescent="0.3">
      <c r="A17" s="7">
        <v>3</v>
      </c>
      <c r="B17" s="13" t="str">
        <f>'[1]Калькуляции '!C14</f>
        <v>Замена автоматических выключателей</v>
      </c>
      <c r="C17" s="71" t="s">
        <v>6</v>
      </c>
      <c r="D17" s="11">
        <f t="shared" si="0"/>
        <v>194.91579999999999</v>
      </c>
      <c r="E17" s="11">
        <f t="shared" si="1"/>
        <v>35.084200000000003</v>
      </c>
      <c r="F17" s="12">
        <f>'[1]Калькуляции '!R14</f>
        <v>230</v>
      </c>
      <c r="G17" s="12">
        <f>F17*$G$9+5</f>
        <v>580</v>
      </c>
      <c r="H17" s="53">
        <f t="shared" si="2"/>
        <v>29</v>
      </c>
      <c r="I17" s="66">
        <f t="shared" si="4"/>
        <v>609</v>
      </c>
      <c r="J17" s="85">
        <f t="shared" si="3"/>
        <v>610</v>
      </c>
    </row>
    <row r="18" spans="1:10" x14ac:dyDescent="0.3">
      <c r="A18" s="7">
        <v>4</v>
      </c>
      <c r="B18" s="14" t="str">
        <f>'[1]Калькуляции '!C15</f>
        <v>Пробивка отверстия для прокладки кабеля</v>
      </c>
      <c r="C18" s="71" t="str">
        <f>'[1]Калькуляции '!D15</f>
        <v>1 отверстие</v>
      </c>
      <c r="D18" s="11">
        <f t="shared" si="0"/>
        <v>152.5428</v>
      </c>
      <c r="E18" s="11">
        <f t="shared" si="1"/>
        <v>27.4572</v>
      </c>
      <c r="F18" s="12">
        <f>'[1]Калькуляции '!R15+3</f>
        <v>180</v>
      </c>
      <c r="G18" s="12">
        <f>F18*$G$9</f>
        <v>450</v>
      </c>
      <c r="H18" s="53">
        <f t="shared" si="2"/>
        <v>22.5</v>
      </c>
      <c r="I18" s="66">
        <f>G18+H18+0.5</f>
        <v>473</v>
      </c>
      <c r="J18" s="85">
        <f t="shared" si="3"/>
        <v>470</v>
      </c>
    </row>
    <row r="19" spans="1:10" ht="40.200000000000003" customHeight="1" x14ac:dyDescent="0.3">
      <c r="A19" s="7">
        <v>5</v>
      </c>
      <c r="B19" s="8" t="str">
        <f>'[1]Калькуляции '!C16</f>
        <v>Демонтаж старой проводки и монтаж вновь проводов типа ПР-500-2 сечение 2.5 мм2 в полутвёрдые трубки  - 1 провод</v>
      </c>
      <c r="C19" s="71" t="str">
        <f>'[1]Калькуляции '!D16</f>
        <v xml:space="preserve"> 1м трубы</v>
      </c>
      <c r="D19" s="11">
        <f t="shared" si="0"/>
        <v>93.22059999999999</v>
      </c>
      <c r="E19" s="11">
        <f t="shared" si="1"/>
        <v>16.779400000000003</v>
      </c>
      <c r="F19" s="12">
        <f>'[1]Калькуляции '!R16-1</f>
        <v>110</v>
      </c>
      <c r="G19" s="12">
        <f>F19*$G$9+5</f>
        <v>280</v>
      </c>
      <c r="H19" s="53">
        <f t="shared" si="2"/>
        <v>14</v>
      </c>
      <c r="I19" s="66">
        <f t="shared" si="4"/>
        <v>294</v>
      </c>
      <c r="J19" s="85">
        <f t="shared" si="3"/>
        <v>290</v>
      </c>
    </row>
    <row r="20" spans="1:10" ht="55.2" customHeight="1" x14ac:dyDescent="0.3">
      <c r="A20" s="7">
        <v>6</v>
      </c>
      <c r="B20" s="8" t="str">
        <f>'[1]Калькуляции '!C17</f>
        <v xml:space="preserve">Демонтаж старой проводки и монтаж вновь проводов типа ПР-500-2 сечение 2.5 мм2 в ранее проложенные резиновые полутвёрдые трубки  - 2 провода </v>
      </c>
      <c r="C20" s="71" t="str">
        <f>'[1]Калькуляции '!D17</f>
        <v xml:space="preserve"> 1м трубы</v>
      </c>
      <c r="D20" s="11">
        <f t="shared" si="0"/>
        <v>33.898400000000002</v>
      </c>
      <c r="E20" s="11">
        <f t="shared" si="1"/>
        <v>6.1016000000000004</v>
      </c>
      <c r="F20" s="12">
        <f>'[1]Калькуляции '!R17-4</f>
        <v>40</v>
      </c>
      <c r="G20" s="12">
        <f>F20*$G$9</f>
        <v>100</v>
      </c>
      <c r="H20" s="53">
        <f t="shared" si="2"/>
        <v>5</v>
      </c>
      <c r="I20" s="66">
        <f t="shared" si="4"/>
        <v>105</v>
      </c>
      <c r="J20" s="85">
        <f t="shared" si="3"/>
        <v>110</v>
      </c>
    </row>
    <row r="21" spans="1:10" ht="41.4" customHeight="1" x14ac:dyDescent="0.3">
      <c r="A21" s="7">
        <v>7</v>
      </c>
      <c r="B21" s="8" t="str">
        <f>'[1]Калькуляции '!C18</f>
        <v>Смена выключателя (переключателя) или штепсельной розетки (простые,установленные открыто)</v>
      </c>
      <c r="C21" s="71" t="s">
        <v>6</v>
      </c>
      <c r="D21" s="11">
        <f t="shared" si="0"/>
        <v>93.22059999999999</v>
      </c>
      <c r="E21" s="11">
        <f t="shared" si="1"/>
        <v>16.779400000000003</v>
      </c>
      <c r="F21" s="12">
        <f>'[1]Калькуляции '!R18+1</f>
        <v>110</v>
      </c>
      <c r="G21" s="12">
        <f>F21*$G$9+5</f>
        <v>280</v>
      </c>
      <c r="H21" s="53">
        <f t="shared" si="2"/>
        <v>14</v>
      </c>
      <c r="I21" s="66">
        <f t="shared" si="4"/>
        <v>294</v>
      </c>
      <c r="J21" s="85">
        <f t="shared" si="3"/>
        <v>290</v>
      </c>
    </row>
    <row r="22" spans="1:10" ht="39.75" customHeight="1" x14ac:dyDescent="0.3">
      <c r="A22" s="7">
        <v>8</v>
      </c>
      <c r="B22" s="8" t="str">
        <f>'[1]Калькуляции '!C19</f>
        <v>Смена выключателя (переключателя) или штепсельной розетки (сложные,установленные заглублённо)</v>
      </c>
      <c r="C22" s="71" t="s">
        <v>6</v>
      </c>
      <c r="D22" s="11">
        <f t="shared" si="0"/>
        <v>127.119</v>
      </c>
      <c r="E22" s="11">
        <f t="shared" si="1"/>
        <v>22.881</v>
      </c>
      <c r="F22" s="12">
        <f>'[1]Калькуляции '!R19+2</f>
        <v>150</v>
      </c>
      <c r="G22" s="12">
        <f>F22*$G$9+5</f>
        <v>380</v>
      </c>
      <c r="H22" s="53">
        <f t="shared" si="2"/>
        <v>19</v>
      </c>
      <c r="I22" s="66">
        <f t="shared" si="4"/>
        <v>399</v>
      </c>
      <c r="J22" s="85">
        <f t="shared" si="3"/>
        <v>400</v>
      </c>
    </row>
    <row r="23" spans="1:10" ht="26.4" customHeight="1" x14ac:dyDescent="0.3">
      <c r="A23" s="7">
        <v>9</v>
      </c>
      <c r="B23" s="8" t="str">
        <f>'[1]Калькуляции '!C20</f>
        <v>Смена стенного или потолочного патрона или бра на 1лампу</v>
      </c>
      <c r="C23" s="71" t="str">
        <f>'[1]Калькуляции '!D20</f>
        <v>1 патрон</v>
      </c>
      <c r="D23" s="11">
        <f t="shared" si="0"/>
        <v>93.22059999999999</v>
      </c>
      <c r="E23" s="11">
        <f t="shared" si="1"/>
        <v>16.779400000000003</v>
      </c>
      <c r="F23" s="12">
        <f>'[1]Калькуляции '!R20-1</f>
        <v>110</v>
      </c>
      <c r="G23" s="12">
        <f>F23*$G$9+5</f>
        <v>280</v>
      </c>
      <c r="H23" s="53">
        <f t="shared" si="2"/>
        <v>14</v>
      </c>
      <c r="I23" s="66">
        <f t="shared" si="4"/>
        <v>294</v>
      </c>
      <c r="J23" s="85">
        <f t="shared" si="3"/>
        <v>290</v>
      </c>
    </row>
    <row r="24" spans="1:10" ht="15.6" customHeight="1" x14ac:dyDescent="0.3">
      <c r="A24" s="7">
        <v>10</v>
      </c>
      <c r="B24" s="8" t="str">
        <f>'[1]Калькуляции '!C21</f>
        <v>Смена шнурового подвеса</v>
      </c>
      <c r="C24" s="71" t="str">
        <f>'[1]Калькуляции '!D21</f>
        <v>1 подвес</v>
      </c>
      <c r="D24" s="11">
        <f t="shared" si="0"/>
        <v>76.2714</v>
      </c>
      <c r="E24" s="11">
        <f t="shared" si="1"/>
        <v>13.7286</v>
      </c>
      <c r="F24" s="12">
        <f>'[1]Калькуляции '!R21-4</f>
        <v>90</v>
      </c>
      <c r="G24" s="12">
        <f>F24*$G$9-5</f>
        <v>220</v>
      </c>
      <c r="H24" s="53">
        <f t="shared" si="2"/>
        <v>11</v>
      </c>
      <c r="I24" s="66">
        <f t="shared" si="4"/>
        <v>231</v>
      </c>
      <c r="J24" s="85">
        <f t="shared" si="3"/>
        <v>230</v>
      </c>
    </row>
    <row r="25" spans="1:10" ht="25.5" customHeight="1" x14ac:dyDescent="0.3">
      <c r="A25" s="7">
        <v>11</v>
      </c>
      <c r="B25" s="14" t="s">
        <v>7</v>
      </c>
      <c r="C25" s="71" t="str">
        <f>'[1]Калькуляции '!D22</f>
        <v>1 подвес</v>
      </c>
      <c r="D25" s="11">
        <f t="shared" si="0"/>
        <v>118.64439999999999</v>
      </c>
      <c r="E25" s="11">
        <f t="shared" si="1"/>
        <v>21.355600000000003</v>
      </c>
      <c r="F25" s="12">
        <f>'[1]Калькуляции '!R22+5</f>
        <v>140</v>
      </c>
      <c r="G25" s="12">
        <f>F25*$G$9</f>
        <v>350</v>
      </c>
      <c r="H25" s="53">
        <f t="shared" si="2"/>
        <v>17.5</v>
      </c>
      <c r="I25" s="66">
        <f>G25+H25+0.5</f>
        <v>368</v>
      </c>
      <c r="J25" s="85">
        <f t="shared" si="3"/>
        <v>370</v>
      </c>
    </row>
    <row r="26" spans="1:10" ht="25.8" customHeight="1" x14ac:dyDescent="0.3">
      <c r="A26" s="7">
        <v>12</v>
      </c>
      <c r="B26" s="8" t="str">
        <f>'[1]Калькуляции '!C23</f>
        <v>Прокладка проводов в коробах,лотках и по перфорированным профилям</v>
      </c>
      <c r="C26" s="71" t="str">
        <f>'[1]Калькуляции '!D23</f>
        <v>1м</v>
      </c>
      <c r="D26" s="11">
        <f t="shared" si="0"/>
        <v>161.01740000000001</v>
      </c>
      <c r="E26" s="11">
        <f t="shared" si="1"/>
        <v>28.982600000000001</v>
      </c>
      <c r="F26" s="12">
        <f>'[1]Калькуляции '!R23-4</f>
        <v>190</v>
      </c>
      <c r="G26" s="12">
        <f>F26*$G$9+5</f>
        <v>480</v>
      </c>
      <c r="H26" s="53">
        <f t="shared" si="2"/>
        <v>24</v>
      </c>
      <c r="I26" s="66">
        <f t="shared" si="4"/>
        <v>504</v>
      </c>
      <c r="J26" s="85">
        <f t="shared" si="3"/>
        <v>500</v>
      </c>
    </row>
    <row r="27" spans="1:10" ht="25.8" customHeight="1" x14ac:dyDescent="0.3">
      <c r="A27" s="7">
        <v>13</v>
      </c>
      <c r="B27" s="8" t="str">
        <f>'[1]Калькуляции '!C24</f>
        <v xml:space="preserve">Снятие выключателя,переключателя или штепсельной розетки </v>
      </c>
      <c r="C27" s="71" t="s">
        <v>6</v>
      </c>
      <c r="D27" s="11">
        <f t="shared" si="0"/>
        <v>33.898400000000002</v>
      </c>
      <c r="E27" s="11">
        <f t="shared" si="1"/>
        <v>6.1016000000000004</v>
      </c>
      <c r="F27" s="12">
        <f>'[1]Калькуляции '!R24+3</f>
        <v>40</v>
      </c>
      <c r="G27" s="12">
        <f>F27*$G$9</f>
        <v>100</v>
      </c>
      <c r="H27" s="53">
        <f t="shared" si="2"/>
        <v>5</v>
      </c>
      <c r="I27" s="66">
        <f t="shared" si="4"/>
        <v>105</v>
      </c>
      <c r="J27" s="85">
        <f t="shared" si="3"/>
        <v>110</v>
      </c>
    </row>
    <row r="28" spans="1:10" ht="29.25" customHeight="1" x14ac:dyDescent="0.3">
      <c r="A28" s="7">
        <v>14</v>
      </c>
      <c r="B28" s="15" t="str">
        <f>'[1]Калькуляции '!C25</f>
        <v>Установка выключателя,переключателя или штепсельной розетки</v>
      </c>
      <c r="C28" s="71" t="s">
        <v>6</v>
      </c>
      <c r="D28" s="11">
        <f t="shared" si="0"/>
        <v>127.119</v>
      </c>
      <c r="E28" s="11">
        <f t="shared" si="1"/>
        <v>22.881</v>
      </c>
      <c r="F28" s="12">
        <f>'[1]Калькуляции '!R25-3</f>
        <v>150</v>
      </c>
      <c r="G28" s="12">
        <f>F28*$G$9+125</f>
        <v>500</v>
      </c>
      <c r="H28" s="53">
        <f t="shared" si="2"/>
        <v>25</v>
      </c>
      <c r="I28" s="66">
        <f t="shared" si="4"/>
        <v>525</v>
      </c>
      <c r="J28" s="85">
        <f t="shared" si="3"/>
        <v>530</v>
      </c>
    </row>
    <row r="29" spans="1:10" ht="14.25" customHeight="1" x14ac:dyDescent="0.3">
      <c r="A29" s="7">
        <v>15</v>
      </c>
      <c r="B29" s="8" t="str">
        <f>'[1]Калькуляции '!C26</f>
        <v>Демонтаж бра,плафонов,светильников</v>
      </c>
      <c r="C29" s="71" t="s">
        <v>6</v>
      </c>
      <c r="D29" s="11">
        <f t="shared" si="0"/>
        <v>42.372999999999998</v>
      </c>
      <c r="E29" s="11">
        <f t="shared" si="1"/>
        <v>7.6270000000000007</v>
      </c>
      <c r="F29" s="12">
        <f>'[1]Калькуляции '!R26+2</f>
        <v>50</v>
      </c>
      <c r="G29" s="12">
        <f>F29*$G$9+5</f>
        <v>130</v>
      </c>
      <c r="H29" s="53">
        <f t="shared" si="2"/>
        <v>6.5</v>
      </c>
      <c r="I29" s="66">
        <f>G29+H29+0.5</f>
        <v>137</v>
      </c>
      <c r="J29" s="85">
        <f t="shared" si="3"/>
        <v>140</v>
      </c>
    </row>
    <row r="30" spans="1:10" x14ac:dyDescent="0.3">
      <c r="A30" s="7">
        <v>16</v>
      </c>
      <c r="B30" s="8" t="str">
        <f>'[1]Калькуляции '!C27</f>
        <v>Установка бра,плафонов,светильников</v>
      </c>
      <c r="C30" s="71" t="s">
        <v>6</v>
      </c>
      <c r="D30" s="11">
        <f t="shared" si="0"/>
        <v>245.76339999999999</v>
      </c>
      <c r="E30" s="11">
        <f t="shared" si="1"/>
        <v>44.236600000000003</v>
      </c>
      <c r="F30" s="12">
        <f>'[1]Калькуляции '!R27</f>
        <v>290</v>
      </c>
      <c r="G30" s="12">
        <f>F30*$G$9-100-5</f>
        <v>620</v>
      </c>
      <c r="H30" s="53">
        <f t="shared" si="2"/>
        <v>31</v>
      </c>
      <c r="I30" s="66">
        <f t="shared" si="4"/>
        <v>651</v>
      </c>
      <c r="J30" s="85">
        <f t="shared" si="3"/>
        <v>650</v>
      </c>
    </row>
    <row r="31" spans="1:10" x14ac:dyDescent="0.3">
      <c r="A31" s="7">
        <v>17</v>
      </c>
      <c r="B31" s="8" t="str">
        <f>'[1]Калькуляции '!C28</f>
        <v xml:space="preserve">Установка люстры в 2-3 светильника </v>
      </c>
      <c r="C31" s="71" t="s">
        <v>6</v>
      </c>
      <c r="D31" s="11">
        <f t="shared" si="0"/>
        <v>483.05219999999997</v>
      </c>
      <c r="E31" s="11">
        <f t="shared" si="1"/>
        <v>86.947800000000001</v>
      </c>
      <c r="F31" s="12">
        <f>'[1]Калькуляции '!R28-1</f>
        <v>570</v>
      </c>
      <c r="G31" s="12">
        <f>F31*$G$9-640</f>
        <v>785</v>
      </c>
      <c r="H31" s="53">
        <f t="shared" si="2"/>
        <v>39.25</v>
      </c>
      <c r="I31" s="66">
        <f>G31+H31-0.25</f>
        <v>824</v>
      </c>
      <c r="J31" s="85">
        <f t="shared" si="3"/>
        <v>820</v>
      </c>
    </row>
    <row r="32" spans="1:10" ht="27" customHeight="1" x14ac:dyDescent="0.3">
      <c r="A32" s="7">
        <v>18</v>
      </c>
      <c r="B32" s="8" t="str">
        <f>'[1]Калькуляции '!C29</f>
        <v>Установка электрозвонка и кнопки с прокладкой провода</v>
      </c>
      <c r="C32" s="71" t="s">
        <v>6</v>
      </c>
      <c r="D32" s="11">
        <f t="shared" si="0"/>
        <v>720.34100000000001</v>
      </c>
      <c r="E32" s="11">
        <f t="shared" si="1"/>
        <v>129.65900000000002</v>
      </c>
      <c r="F32" s="12">
        <f>'[1]Калькуляции '!R29+2</f>
        <v>850</v>
      </c>
      <c r="G32" s="12">
        <f>F32*$G$9-800</f>
        <v>1325</v>
      </c>
      <c r="H32" s="53">
        <f t="shared" si="2"/>
        <v>66.25</v>
      </c>
      <c r="I32" s="66">
        <f>G32+H32-0.25</f>
        <v>1391</v>
      </c>
      <c r="J32" s="85">
        <f t="shared" si="3"/>
        <v>1390</v>
      </c>
    </row>
    <row r="33" spans="1:11" x14ac:dyDescent="0.3">
      <c r="A33" s="7">
        <v>19</v>
      </c>
      <c r="B33" s="8" t="str">
        <f>'[1]Калькуляции '!C31</f>
        <v>Замена электросчётчика</v>
      </c>
      <c r="C33" s="71" t="s">
        <v>6</v>
      </c>
      <c r="D33" s="11">
        <f>F33-E33</f>
        <v>694.92073958584285</v>
      </c>
      <c r="E33" s="11">
        <f>F33*15.254%</f>
        <v>125.08343711375697</v>
      </c>
      <c r="F33" s="12">
        <f>'[1]Калькуляции '!R31-0.89+3</f>
        <v>820.00417669959984</v>
      </c>
      <c r="G33" s="12">
        <f>F33*$G$9-0.01-240-610</f>
        <v>1200.0004417489995</v>
      </c>
      <c r="H33" s="53">
        <f t="shared" si="2"/>
        <v>60.000022087449977</v>
      </c>
      <c r="I33" s="66">
        <f t="shared" si="4"/>
        <v>1260.0004638364494</v>
      </c>
      <c r="J33" s="85">
        <f t="shared" si="3"/>
        <v>1260</v>
      </c>
    </row>
    <row r="34" spans="1:11" ht="15.6" customHeight="1" x14ac:dyDescent="0.3">
      <c r="A34" s="7">
        <v>20</v>
      </c>
      <c r="B34" s="16" t="s">
        <v>8</v>
      </c>
      <c r="C34" s="71" t="s">
        <v>6</v>
      </c>
      <c r="D34" s="11">
        <f t="shared" si="0"/>
        <v>245.76339999999999</v>
      </c>
      <c r="E34" s="11">
        <f t="shared" si="1"/>
        <v>44.236600000000003</v>
      </c>
      <c r="F34" s="12">
        <f>'[1]Калькуляции '!R32</f>
        <v>290</v>
      </c>
      <c r="G34" s="12">
        <f>F34*$G$9-5</f>
        <v>720</v>
      </c>
      <c r="H34" s="53">
        <f t="shared" si="2"/>
        <v>36</v>
      </c>
      <c r="I34" s="66">
        <f t="shared" si="4"/>
        <v>756</v>
      </c>
      <c r="J34" s="85">
        <f t="shared" si="3"/>
        <v>760</v>
      </c>
    </row>
    <row r="35" spans="1:11" ht="16.2" customHeight="1" x14ac:dyDescent="0.3">
      <c r="A35" s="7">
        <v>21</v>
      </c>
      <c r="B35" s="8" t="s">
        <v>9</v>
      </c>
      <c r="C35" s="71" t="s">
        <v>6</v>
      </c>
      <c r="D35" s="11"/>
      <c r="E35" s="11"/>
      <c r="F35" s="12"/>
      <c r="G35" s="12">
        <v>500</v>
      </c>
      <c r="H35" s="53">
        <f t="shared" si="2"/>
        <v>25</v>
      </c>
      <c r="I35" s="66">
        <f t="shared" si="4"/>
        <v>525</v>
      </c>
      <c r="J35" s="85">
        <f t="shared" si="3"/>
        <v>530</v>
      </c>
    </row>
    <row r="36" spans="1:11" ht="19.2" customHeight="1" thickBot="1" x14ac:dyDescent="0.35">
      <c r="A36" s="87">
        <v>22</v>
      </c>
      <c r="B36" s="24" t="s">
        <v>10</v>
      </c>
      <c r="C36" s="142" t="s">
        <v>6</v>
      </c>
      <c r="D36" s="25"/>
      <c r="E36" s="25"/>
      <c r="F36" s="26"/>
      <c r="G36" s="26">
        <v>150</v>
      </c>
      <c r="H36" s="89">
        <f t="shared" si="2"/>
        <v>7.5</v>
      </c>
      <c r="I36" s="143">
        <f t="shared" si="4"/>
        <v>157.5</v>
      </c>
      <c r="J36" s="136">
        <f t="shared" si="3"/>
        <v>160</v>
      </c>
    </row>
    <row r="37" spans="1:11" ht="34.5" customHeight="1" thickBot="1" x14ac:dyDescent="0.35">
      <c r="A37" s="97" t="str">
        <f>'[1]Калькуляции '!C33</f>
        <v>УСЛУГИ ПО ГОРЯЧЕМУ ,ХОЛОДНОМУ ВОДОСНАБЖЕНИЮ И КАНАЛИЗАЦИИ</v>
      </c>
      <c r="B37" s="98"/>
      <c r="C37" s="98"/>
      <c r="D37" s="98"/>
      <c r="E37" s="98"/>
      <c r="F37" s="98"/>
      <c r="G37" s="98"/>
      <c r="H37" s="98"/>
      <c r="I37" s="98"/>
      <c r="J37" s="99"/>
    </row>
    <row r="38" spans="1:11" ht="43.2" x14ac:dyDescent="0.3">
      <c r="A38" s="17">
        <v>23</v>
      </c>
      <c r="B38" s="18" t="str">
        <f>'[1]Калькуляции '!C34</f>
        <v>Зачеканка раструбов чугунных труб или фасонных частей цементом при диаметре труб 5мм</v>
      </c>
      <c r="C38" s="65" t="str">
        <f>'[1]Калькуляции '!D34</f>
        <v>1раструб</v>
      </c>
      <c r="D38" s="19">
        <f t="shared" ref="D38:D101" si="5">F38-E38</f>
        <v>67.796800000000005</v>
      </c>
      <c r="E38" s="19">
        <f t="shared" ref="E38:E70" si="6">F38*15.254%</f>
        <v>12.203200000000001</v>
      </c>
      <c r="F38" s="20">
        <f>'[1]Калькуляции '!R34+1</f>
        <v>80</v>
      </c>
      <c r="G38" s="54">
        <f t="shared" ref="G38:G115" si="7">F38*$G$9</f>
        <v>200</v>
      </c>
      <c r="H38" s="76">
        <f t="shared" si="2"/>
        <v>10</v>
      </c>
      <c r="I38" s="79">
        <f>G38+H38</f>
        <v>210</v>
      </c>
      <c r="J38" s="85">
        <f t="shared" si="3"/>
        <v>210</v>
      </c>
    </row>
    <row r="39" spans="1:11" ht="43.2" x14ac:dyDescent="0.3">
      <c r="A39" s="7">
        <v>24</v>
      </c>
      <c r="B39" s="8" t="str">
        <f>'[1]Калькуляции '!C35</f>
        <v>Зачеканка раструбов чугунных труб или фасонных частей цементом при диаметре труб до 150мм</v>
      </c>
      <c r="C39" s="71" t="str">
        <f>'[1]Калькуляции '!D35</f>
        <v>1раструб</v>
      </c>
      <c r="D39" s="11">
        <f t="shared" si="5"/>
        <v>127.119</v>
      </c>
      <c r="E39" s="11">
        <f t="shared" si="6"/>
        <v>22.881</v>
      </c>
      <c r="F39" s="12">
        <f>'[1]Калькуляции '!R35</f>
        <v>150</v>
      </c>
      <c r="G39" s="55">
        <f>F39*$G$9+5</f>
        <v>380</v>
      </c>
      <c r="H39" s="53">
        <f t="shared" si="2"/>
        <v>19</v>
      </c>
      <c r="I39" s="66">
        <f t="shared" ref="I39:I41" si="8">G39+H39</f>
        <v>399</v>
      </c>
      <c r="J39" s="85">
        <f t="shared" si="3"/>
        <v>400</v>
      </c>
    </row>
    <row r="40" spans="1:11" ht="43.2" x14ac:dyDescent="0.3">
      <c r="A40" s="17">
        <v>25</v>
      </c>
      <c r="B40" s="8" t="str">
        <f>'[1]Калькуляции '!C36</f>
        <v>Установка 1водопроводного крана с использованием сварочных работ для стиральных машин или бойлеров</v>
      </c>
      <c r="C40" s="71" t="s">
        <v>6</v>
      </c>
      <c r="D40" s="11">
        <f t="shared" si="5"/>
        <v>627.12040000000002</v>
      </c>
      <c r="E40" s="11">
        <f t="shared" si="6"/>
        <v>112.87960000000001</v>
      </c>
      <c r="F40" s="12">
        <f>'[1]Калькуляции '!R36+3</f>
        <v>740</v>
      </c>
      <c r="G40" s="55">
        <f>F40*$G$9</f>
        <v>1850</v>
      </c>
      <c r="H40" s="53">
        <f t="shared" si="2"/>
        <v>92.5</v>
      </c>
      <c r="I40" s="66">
        <f t="shared" si="8"/>
        <v>1942.5</v>
      </c>
      <c r="J40" s="85">
        <f t="shared" si="3"/>
        <v>1940</v>
      </c>
      <c r="K40" s="1"/>
    </row>
    <row r="41" spans="1:11" x14ac:dyDescent="0.3">
      <c r="A41" s="7">
        <v>26</v>
      </c>
      <c r="B41" s="8" t="str">
        <f>'[1]Калькуляции '!C37</f>
        <v>Смена водопроводных кранов</v>
      </c>
      <c r="C41" s="71" t="s">
        <v>6</v>
      </c>
      <c r="D41" s="11">
        <f t="shared" si="5"/>
        <v>194.91579999999999</v>
      </c>
      <c r="E41" s="11">
        <f t="shared" si="6"/>
        <v>35.084200000000003</v>
      </c>
      <c r="F41" s="12">
        <f>'[1]Калькуляции '!R37+3</f>
        <v>230</v>
      </c>
      <c r="G41" s="55">
        <f>F41*$G$9+5</f>
        <v>580</v>
      </c>
      <c r="H41" s="53">
        <f t="shared" si="2"/>
        <v>29</v>
      </c>
      <c r="I41" s="66">
        <f t="shared" si="8"/>
        <v>609</v>
      </c>
      <c r="J41" s="85">
        <f t="shared" si="3"/>
        <v>610</v>
      </c>
    </row>
    <row r="42" spans="1:11" x14ac:dyDescent="0.3">
      <c r="A42" s="17">
        <v>27</v>
      </c>
      <c r="B42" s="8" t="s">
        <v>11</v>
      </c>
      <c r="C42" s="71" t="s">
        <v>6</v>
      </c>
      <c r="D42" s="11">
        <f t="shared" si="5"/>
        <v>245.76339999999999</v>
      </c>
      <c r="E42" s="11">
        <f t="shared" si="6"/>
        <v>44.236600000000003</v>
      </c>
      <c r="F42" s="12">
        <f>'[1]Калькуляции '!R38+4</f>
        <v>290</v>
      </c>
      <c r="G42" s="55">
        <f>F42*$G$9+5</f>
        <v>730</v>
      </c>
      <c r="H42" s="53">
        <f t="shared" si="2"/>
        <v>36.5</v>
      </c>
      <c r="I42" s="63">
        <f>G42+H42</f>
        <v>766.5</v>
      </c>
      <c r="J42" s="85">
        <f t="shared" si="3"/>
        <v>770</v>
      </c>
    </row>
    <row r="43" spans="1:11" x14ac:dyDescent="0.3">
      <c r="A43" s="7">
        <v>28</v>
      </c>
      <c r="B43" s="8" t="s">
        <v>12</v>
      </c>
      <c r="C43" s="71" t="s">
        <v>6</v>
      </c>
      <c r="D43" s="11"/>
      <c r="E43" s="11"/>
      <c r="F43" s="12"/>
      <c r="G43" s="55">
        <v>500</v>
      </c>
      <c r="H43" s="53">
        <f t="shared" si="2"/>
        <v>25</v>
      </c>
      <c r="I43" s="63">
        <f t="shared" ref="I43:I106" si="9">G43+H43</f>
        <v>525</v>
      </c>
      <c r="J43" s="85">
        <f t="shared" si="3"/>
        <v>530</v>
      </c>
    </row>
    <row r="44" spans="1:11" x14ac:dyDescent="0.3">
      <c r="A44" s="17">
        <v>29</v>
      </c>
      <c r="B44" s="8" t="s">
        <v>13</v>
      </c>
      <c r="C44" s="71" t="s">
        <v>14</v>
      </c>
      <c r="D44" s="11"/>
      <c r="E44" s="11"/>
      <c r="F44" s="12"/>
      <c r="G44" s="55">
        <v>200</v>
      </c>
      <c r="H44" s="53">
        <f t="shared" si="2"/>
        <v>10</v>
      </c>
      <c r="I44" s="63">
        <f t="shared" si="9"/>
        <v>210</v>
      </c>
      <c r="J44" s="85">
        <f t="shared" si="3"/>
        <v>210</v>
      </c>
    </row>
    <row r="45" spans="1:11" ht="28.8" x14ac:dyDescent="0.3">
      <c r="A45" s="7">
        <v>30</v>
      </c>
      <c r="B45" s="8" t="s">
        <v>15</v>
      </c>
      <c r="C45" s="71" t="s">
        <v>16</v>
      </c>
      <c r="D45" s="11"/>
      <c r="E45" s="11"/>
      <c r="F45" s="12"/>
      <c r="G45" s="55">
        <v>1200</v>
      </c>
      <c r="H45" s="53">
        <f t="shared" si="2"/>
        <v>60</v>
      </c>
      <c r="I45" s="63">
        <f t="shared" si="9"/>
        <v>1260</v>
      </c>
      <c r="J45" s="85">
        <f t="shared" si="3"/>
        <v>1260</v>
      </c>
    </row>
    <row r="46" spans="1:11" x14ac:dyDescent="0.3">
      <c r="A46" s="17">
        <v>31</v>
      </c>
      <c r="B46" s="8" t="str">
        <f>'[1]Калькуляции '!C39</f>
        <v>Смена ванн</v>
      </c>
      <c r="C46" s="71" t="str">
        <f>'[1]Калькуляции '!D39</f>
        <v>1комплект</v>
      </c>
      <c r="D46" s="11">
        <f t="shared" si="5"/>
        <v>1254.2408</v>
      </c>
      <c r="E46" s="11">
        <f t="shared" si="6"/>
        <v>225.75920000000002</v>
      </c>
      <c r="F46" s="12">
        <f>'[1]Калькуляции '!R39-1</f>
        <v>1480</v>
      </c>
      <c r="G46" s="55">
        <f>F46*$G$9</f>
        <v>3700</v>
      </c>
      <c r="H46" s="53">
        <f t="shared" si="2"/>
        <v>185</v>
      </c>
      <c r="I46" s="63">
        <f t="shared" si="9"/>
        <v>3885</v>
      </c>
      <c r="J46" s="85">
        <f t="shared" si="3"/>
        <v>3890</v>
      </c>
    </row>
    <row r="47" spans="1:11" x14ac:dyDescent="0.3">
      <c r="A47" s="7">
        <v>32</v>
      </c>
      <c r="B47" s="8" t="s">
        <v>17</v>
      </c>
      <c r="C47" s="71" t="s">
        <v>18</v>
      </c>
      <c r="D47" s="11">
        <f>F47-E47</f>
        <v>296.61099999999999</v>
      </c>
      <c r="E47" s="11">
        <f>F47*15.254%</f>
        <v>53.389000000000003</v>
      </c>
      <c r="F47" s="12">
        <v>350</v>
      </c>
      <c r="G47" s="55">
        <f>F47*$G$9+5</f>
        <v>880</v>
      </c>
      <c r="H47" s="53">
        <f t="shared" si="2"/>
        <v>44</v>
      </c>
      <c r="I47" s="63">
        <f t="shared" si="9"/>
        <v>924</v>
      </c>
      <c r="J47" s="85">
        <f t="shared" si="3"/>
        <v>920</v>
      </c>
    </row>
    <row r="48" spans="1:11" x14ac:dyDescent="0.3">
      <c r="A48" s="17">
        <v>33</v>
      </c>
      <c r="B48" s="8" t="s">
        <v>19</v>
      </c>
      <c r="C48" s="71" t="s">
        <v>18</v>
      </c>
      <c r="D48" s="11">
        <f>F48-E48</f>
        <v>254.238</v>
      </c>
      <c r="E48" s="11">
        <f>F48*15.254%</f>
        <v>45.762</v>
      </c>
      <c r="F48" s="12">
        <v>300</v>
      </c>
      <c r="G48" s="55">
        <f>F48*$G$9+5</f>
        <v>755</v>
      </c>
      <c r="H48" s="53">
        <f t="shared" si="2"/>
        <v>37.75</v>
      </c>
      <c r="I48" s="63">
        <f t="shared" si="9"/>
        <v>792.75</v>
      </c>
      <c r="J48" s="85">
        <f t="shared" si="3"/>
        <v>790</v>
      </c>
    </row>
    <row r="49" spans="1:10" x14ac:dyDescent="0.3">
      <c r="A49" s="7">
        <v>34</v>
      </c>
      <c r="B49" s="8" t="str">
        <f>'[1]Калькуляции '!C40</f>
        <v>Смена раковины или мойки</v>
      </c>
      <c r="C49" s="71" t="s">
        <v>6</v>
      </c>
      <c r="D49" s="11">
        <f t="shared" si="5"/>
        <v>338.98399999999998</v>
      </c>
      <c r="E49" s="11">
        <f t="shared" si="6"/>
        <v>61.016000000000005</v>
      </c>
      <c r="F49" s="12">
        <f>'[1]Калькуляции '!R40+2</f>
        <v>400</v>
      </c>
      <c r="G49" s="55">
        <f>F49*$G$9</f>
        <v>1000</v>
      </c>
      <c r="H49" s="53">
        <f t="shared" si="2"/>
        <v>50</v>
      </c>
      <c r="I49" s="63">
        <f t="shared" si="9"/>
        <v>1050</v>
      </c>
      <c r="J49" s="85">
        <f t="shared" si="3"/>
        <v>1050</v>
      </c>
    </row>
    <row r="50" spans="1:10" x14ac:dyDescent="0.3">
      <c r="A50" s="17">
        <v>35</v>
      </c>
      <c r="B50" s="8" t="str">
        <f>'[1]Калькуляции '!C41</f>
        <v>Смена умывальника</v>
      </c>
      <c r="C50" s="71" t="s">
        <v>6</v>
      </c>
      <c r="D50" s="11">
        <f t="shared" si="5"/>
        <v>525.42520000000002</v>
      </c>
      <c r="E50" s="11">
        <f t="shared" si="6"/>
        <v>94.57480000000001</v>
      </c>
      <c r="F50" s="12">
        <f>'[1]Калькуляции '!R41+3</f>
        <v>620</v>
      </c>
      <c r="G50" s="55">
        <f>F50*$G$9</f>
        <v>1550</v>
      </c>
      <c r="H50" s="53">
        <f t="shared" si="2"/>
        <v>77.5</v>
      </c>
      <c r="I50" s="63">
        <f t="shared" si="9"/>
        <v>1627.5</v>
      </c>
      <c r="J50" s="85">
        <f t="shared" si="3"/>
        <v>1630</v>
      </c>
    </row>
    <row r="51" spans="1:10" x14ac:dyDescent="0.3">
      <c r="A51" s="7">
        <v>36</v>
      </c>
      <c r="B51" s="8" t="str">
        <f>'[1]Калькуляции '!C42</f>
        <v>Смена сифона</v>
      </c>
      <c r="C51" s="71" t="s">
        <v>6</v>
      </c>
      <c r="D51" s="11">
        <f t="shared" si="5"/>
        <v>203.3904</v>
      </c>
      <c r="E51" s="11">
        <f t="shared" si="6"/>
        <v>36.6096</v>
      </c>
      <c r="F51" s="12">
        <f>'[1]Калькуляции '!R42+3</f>
        <v>240</v>
      </c>
      <c r="G51" s="55">
        <f>F51*$G$9</f>
        <v>600</v>
      </c>
      <c r="H51" s="53">
        <f t="shared" si="2"/>
        <v>30</v>
      </c>
      <c r="I51" s="63">
        <f t="shared" si="9"/>
        <v>630</v>
      </c>
      <c r="J51" s="85">
        <f t="shared" si="3"/>
        <v>630</v>
      </c>
    </row>
    <row r="52" spans="1:10" x14ac:dyDescent="0.3">
      <c r="A52" s="17">
        <v>37</v>
      </c>
      <c r="B52" s="8" t="str">
        <f>'[1]Калькуляции '!C43</f>
        <v>Смена смывной трубы или трапа</v>
      </c>
      <c r="C52" s="71" t="s">
        <v>6</v>
      </c>
      <c r="D52" s="11">
        <f t="shared" si="5"/>
        <v>211.86500000000001</v>
      </c>
      <c r="E52" s="11">
        <f t="shared" si="6"/>
        <v>38.135000000000005</v>
      </c>
      <c r="F52" s="12">
        <f>'[1]Калькуляции '!R43-2</f>
        <v>250</v>
      </c>
      <c r="G52" s="55">
        <f>F52*$G$9-5</f>
        <v>620</v>
      </c>
      <c r="H52" s="53">
        <f t="shared" si="2"/>
        <v>31</v>
      </c>
      <c r="I52" s="63">
        <f t="shared" si="9"/>
        <v>651</v>
      </c>
      <c r="J52" s="85">
        <f t="shared" si="3"/>
        <v>650</v>
      </c>
    </row>
    <row r="53" spans="1:10" ht="28.8" x14ac:dyDescent="0.3">
      <c r="A53" s="7">
        <v>38</v>
      </c>
      <c r="B53" s="14" t="s">
        <v>20</v>
      </c>
      <c r="C53" s="71" t="s">
        <v>6</v>
      </c>
      <c r="D53" s="11">
        <f t="shared" si="5"/>
        <v>262.71260000000001</v>
      </c>
      <c r="E53" s="11">
        <f t="shared" si="6"/>
        <v>47.287400000000005</v>
      </c>
      <c r="F53" s="12">
        <f>'[1]Калькуляции '!R44-2</f>
        <v>310</v>
      </c>
      <c r="G53" s="55">
        <v>1300</v>
      </c>
      <c r="H53" s="53">
        <f t="shared" si="2"/>
        <v>65</v>
      </c>
      <c r="I53" s="63">
        <f t="shared" si="9"/>
        <v>1365</v>
      </c>
      <c r="J53" s="85">
        <f t="shared" si="3"/>
        <v>1370</v>
      </c>
    </row>
    <row r="54" spans="1:10" x14ac:dyDescent="0.3">
      <c r="A54" s="17">
        <v>39</v>
      </c>
      <c r="B54" s="14" t="s">
        <v>21</v>
      </c>
      <c r="C54" s="71" t="s">
        <v>6</v>
      </c>
      <c r="D54" s="11"/>
      <c r="E54" s="11"/>
      <c r="F54" s="12"/>
      <c r="G54" s="56">
        <v>300</v>
      </c>
      <c r="H54" s="53">
        <f t="shared" si="2"/>
        <v>15</v>
      </c>
      <c r="I54" s="63">
        <f t="shared" si="9"/>
        <v>315</v>
      </c>
      <c r="J54" s="85">
        <f t="shared" si="3"/>
        <v>320</v>
      </c>
    </row>
    <row r="55" spans="1:10" ht="15.6" customHeight="1" x14ac:dyDescent="0.3">
      <c r="A55" s="7">
        <v>40</v>
      </c>
      <c r="B55" s="8" t="s">
        <v>22</v>
      </c>
      <c r="C55" s="71" t="s">
        <v>18</v>
      </c>
      <c r="D55" s="11">
        <f>F55-E55</f>
        <v>211.86500000000001</v>
      </c>
      <c r="E55" s="11">
        <f>F55*15.254%</f>
        <v>38.135000000000005</v>
      </c>
      <c r="F55" s="12">
        <v>250</v>
      </c>
      <c r="G55" s="55">
        <f>F55*$G$9-55</f>
        <v>570</v>
      </c>
      <c r="H55" s="53">
        <f t="shared" si="2"/>
        <v>28.5</v>
      </c>
      <c r="I55" s="63">
        <f t="shared" si="9"/>
        <v>598.5</v>
      </c>
      <c r="J55" s="85">
        <f t="shared" si="3"/>
        <v>600</v>
      </c>
    </row>
    <row r="56" spans="1:10" ht="15.6" customHeight="1" x14ac:dyDescent="0.3">
      <c r="A56" s="17">
        <v>41</v>
      </c>
      <c r="B56" s="8" t="s">
        <v>23</v>
      </c>
      <c r="C56" s="71" t="s">
        <v>18</v>
      </c>
      <c r="D56" s="11"/>
      <c r="E56" s="11"/>
      <c r="F56" s="12"/>
      <c r="G56" s="55">
        <v>700</v>
      </c>
      <c r="H56" s="53">
        <f t="shared" si="2"/>
        <v>35</v>
      </c>
      <c r="I56" s="63">
        <f t="shared" si="9"/>
        <v>735</v>
      </c>
      <c r="J56" s="85">
        <f t="shared" si="3"/>
        <v>740</v>
      </c>
    </row>
    <row r="57" spans="1:10" x14ac:dyDescent="0.3">
      <c r="A57" s="7">
        <v>42</v>
      </c>
      <c r="B57" s="8" t="s">
        <v>24</v>
      </c>
      <c r="C57" s="71" t="s">
        <v>6</v>
      </c>
      <c r="D57" s="11">
        <f>F57-E57</f>
        <v>42.372999999999998</v>
      </c>
      <c r="E57" s="11">
        <f>F57*15.254%</f>
        <v>7.6270000000000007</v>
      </c>
      <c r="F57" s="12">
        <v>50</v>
      </c>
      <c r="G57" s="55">
        <f>F57*$G$9-5</f>
        <v>120</v>
      </c>
      <c r="H57" s="53">
        <f t="shared" si="2"/>
        <v>6</v>
      </c>
      <c r="I57" s="63">
        <f t="shared" si="9"/>
        <v>126</v>
      </c>
      <c r="J57" s="85">
        <f t="shared" si="3"/>
        <v>130</v>
      </c>
    </row>
    <row r="58" spans="1:10" x14ac:dyDescent="0.3">
      <c r="A58" s="17">
        <v>43</v>
      </c>
      <c r="B58" s="8" t="s">
        <v>25</v>
      </c>
      <c r="C58" s="71" t="s">
        <v>6</v>
      </c>
      <c r="D58" s="11">
        <f t="shared" si="5"/>
        <v>415.25540000000001</v>
      </c>
      <c r="E58" s="11">
        <f t="shared" si="6"/>
        <v>74.744600000000005</v>
      </c>
      <c r="F58" s="12">
        <f>'[1]Калькуляции '!R45+3</f>
        <v>490</v>
      </c>
      <c r="G58" s="55">
        <v>600</v>
      </c>
      <c r="H58" s="53">
        <f t="shared" si="2"/>
        <v>30</v>
      </c>
      <c r="I58" s="63">
        <f t="shared" si="9"/>
        <v>630</v>
      </c>
      <c r="J58" s="85">
        <f t="shared" si="3"/>
        <v>630</v>
      </c>
    </row>
    <row r="59" spans="1:10" x14ac:dyDescent="0.3">
      <c r="A59" s="7">
        <v>44</v>
      </c>
      <c r="B59" s="8" t="s">
        <v>26</v>
      </c>
      <c r="C59" s="71" t="s">
        <v>6</v>
      </c>
      <c r="D59" s="11"/>
      <c r="E59" s="11"/>
      <c r="F59" s="12"/>
      <c r="G59" s="55">
        <v>1300</v>
      </c>
      <c r="H59" s="53">
        <f t="shared" si="2"/>
        <v>65</v>
      </c>
      <c r="I59" s="63">
        <f t="shared" si="9"/>
        <v>1365</v>
      </c>
      <c r="J59" s="85">
        <f t="shared" si="3"/>
        <v>1370</v>
      </c>
    </row>
    <row r="60" spans="1:10" x14ac:dyDescent="0.3">
      <c r="A60" s="17">
        <v>45</v>
      </c>
      <c r="B60" s="8" t="str">
        <f>'[1]Калькуляции '!C46</f>
        <v>Смена сиденья к унитазу</v>
      </c>
      <c r="C60" s="71" t="s">
        <v>6</v>
      </c>
      <c r="D60" s="11">
        <f t="shared" si="5"/>
        <v>42.372999999999998</v>
      </c>
      <c r="E60" s="11">
        <f t="shared" si="6"/>
        <v>7.6270000000000007</v>
      </c>
      <c r="F60" s="12">
        <f>'[1]Калькуляции '!R46+1</f>
        <v>50</v>
      </c>
      <c r="G60" s="55">
        <f>F60*$G$9+5</f>
        <v>130</v>
      </c>
      <c r="H60" s="53">
        <f t="shared" si="2"/>
        <v>6.5</v>
      </c>
      <c r="I60" s="63">
        <f t="shared" si="9"/>
        <v>136.5</v>
      </c>
      <c r="J60" s="85">
        <f t="shared" si="3"/>
        <v>140</v>
      </c>
    </row>
    <row r="61" spans="1:10" ht="28.8" x14ac:dyDescent="0.3">
      <c r="A61" s="7">
        <v>46</v>
      </c>
      <c r="B61" s="14" t="s">
        <v>27</v>
      </c>
      <c r="C61" s="71" t="s">
        <v>6</v>
      </c>
      <c r="D61" s="11">
        <f>F61-E61</f>
        <v>177.9666</v>
      </c>
      <c r="E61" s="11">
        <f>F61*15.254%</f>
        <v>32.0334</v>
      </c>
      <c r="F61" s="12">
        <f>206+4</f>
        <v>210</v>
      </c>
      <c r="G61" s="55">
        <v>1000</v>
      </c>
      <c r="H61" s="53">
        <f t="shared" si="2"/>
        <v>50</v>
      </c>
      <c r="I61" s="63">
        <f t="shared" si="9"/>
        <v>1050</v>
      </c>
      <c r="J61" s="85">
        <f t="shared" si="3"/>
        <v>1050</v>
      </c>
    </row>
    <row r="62" spans="1:10" ht="28.8" x14ac:dyDescent="0.3">
      <c r="A62" s="17">
        <v>47</v>
      </c>
      <c r="B62" s="8" t="s">
        <v>28</v>
      </c>
      <c r="C62" s="71" t="s">
        <v>6</v>
      </c>
      <c r="D62" s="11"/>
      <c r="E62" s="11"/>
      <c r="F62" s="12"/>
      <c r="G62" s="55">
        <v>500</v>
      </c>
      <c r="H62" s="53">
        <f t="shared" si="2"/>
        <v>25</v>
      </c>
      <c r="I62" s="63">
        <f t="shared" si="9"/>
        <v>525</v>
      </c>
      <c r="J62" s="85">
        <f t="shared" si="3"/>
        <v>530</v>
      </c>
    </row>
    <row r="63" spans="1:10" ht="28.8" x14ac:dyDescent="0.3">
      <c r="A63" s="7">
        <v>48</v>
      </c>
      <c r="B63" s="8" t="s">
        <v>29</v>
      </c>
      <c r="C63" s="71" t="s">
        <v>6</v>
      </c>
      <c r="D63" s="11">
        <f>F63-E63</f>
        <v>177.9666</v>
      </c>
      <c r="E63" s="11">
        <f>F63*15.254%</f>
        <v>32.0334</v>
      </c>
      <c r="F63" s="12">
        <f>206+4</f>
        <v>210</v>
      </c>
      <c r="G63" s="55">
        <f>F63*$G$9-5</f>
        <v>520</v>
      </c>
      <c r="H63" s="53">
        <f t="shared" si="2"/>
        <v>26</v>
      </c>
      <c r="I63" s="63">
        <f t="shared" si="9"/>
        <v>546</v>
      </c>
      <c r="J63" s="85">
        <f t="shared" si="3"/>
        <v>550</v>
      </c>
    </row>
    <row r="64" spans="1:10" ht="28.8" x14ac:dyDescent="0.3">
      <c r="A64" s="17">
        <v>49</v>
      </c>
      <c r="B64" s="8" t="s">
        <v>30</v>
      </c>
      <c r="C64" s="71" t="s">
        <v>6</v>
      </c>
      <c r="D64" s="11">
        <f>F64-E64</f>
        <v>177.9666</v>
      </c>
      <c r="E64" s="11">
        <f>F64*15.254%</f>
        <v>32.0334</v>
      </c>
      <c r="F64" s="12">
        <f>206+4</f>
        <v>210</v>
      </c>
      <c r="G64" s="55">
        <f>F64*$G$9-5</f>
        <v>520</v>
      </c>
      <c r="H64" s="53">
        <f t="shared" si="2"/>
        <v>26</v>
      </c>
      <c r="I64" s="63">
        <f t="shared" si="9"/>
        <v>546</v>
      </c>
      <c r="J64" s="85">
        <f t="shared" si="3"/>
        <v>550</v>
      </c>
    </row>
    <row r="65" spans="1:10" x14ac:dyDescent="0.3">
      <c r="A65" s="7">
        <v>50</v>
      </c>
      <c r="B65" s="8" t="s">
        <v>31</v>
      </c>
      <c r="C65" s="71" t="s">
        <v>16</v>
      </c>
      <c r="D65" s="11"/>
      <c r="E65" s="11"/>
      <c r="F65" s="12"/>
      <c r="G65" s="55">
        <v>840</v>
      </c>
      <c r="H65" s="53">
        <f t="shared" si="2"/>
        <v>42</v>
      </c>
      <c r="I65" s="63">
        <f t="shared" si="9"/>
        <v>882</v>
      </c>
      <c r="J65" s="85">
        <f t="shared" si="3"/>
        <v>880</v>
      </c>
    </row>
    <row r="66" spans="1:10" x14ac:dyDescent="0.3">
      <c r="A66" s="17">
        <v>51</v>
      </c>
      <c r="B66" s="8" t="str">
        <f>'[1]Калькуляции '!C48</f>
        <v>Смена резинового манжета унитаза</v>
      </c>
      <c r="C66" s="71" t="s">
        <v>6</v>
      </c>
      <c r="D66" s="11">
        <f t="shared" si="5"/>
        <v>152.5428</v>
      </c>
      <c r="E66" s="11">
        <f t="shared" si="6"/>
        <v>27.4572</v>
      </c>
      <c r="F66" s="12">
        <f>'[1]Калькуляции '!R48</f>
        <v>180</v>
      </c>
      <c r="G66" s="55">
        <f t="shared" si="7"/>
        <v>450</v>
      </c>
      <c r="H66" s="53">
        <f t="shared" si="2"/>
        <v>22.5</v>
      </c>
      <c r="I66" s="63">
        <f t="shared" si="9"/>
        <v>472.5</v>
      </c>
      <c r="J66" s="85">
        <f t="shared" si="3"/>
        <v>470</v>
      </c>
    </row>
    <row r="67" spans="1:10" ht="27.75" customHeight="1" x14ac:dyDescent="0.3">
      <c r="A67" s="7">
        <v>52</v>
      </c>
      <c r="B67" s="8" t="str">
        <f>'[1]Калькуляции '!C49</f>
        <v>Смена прокладок у ревизии диаметром  до 100мм</v>
      </c>
      <c r="C67" s="71" t="s">
        <v>6</v>
      </c>
      <c r="D67" s="11">
        <f t="shared" si="5"/>
        <v>110.1698</v>
      </c>
      <c r="E67" s="11">
        <f t="shared" si="6"/>
        <v>19.830200000000001</v>
      </c>
      <c r="F67" s="12">
        <f>'[1]Калькуляции '!R49+4</f>
        <v>130</v>
      </c>
      <c r="G67" s="55">
        <f t="shared" si="7"/>
        <v>325</v>
      </c>
      <c r="H67" s="53">
        <f t="shared" si="2"/>
        <v>16.25</v>
      </c>
      <c r="I67" s="63">
        <f t="shared" si="9"/>
        <v>341.25</v>
      </c>
      <c r="J67" s="85">
        <f t="shared" si="3"/>
        <v>340</v>
      </c>
    </row>
    <row r="68" spans="1:10" x14ac:dyDescent="0.3">
      <c r="A68" s="17">
        <v>53</v>
      </c>
      <c r="B68" s="8" t="str">
        <f>'[1]Калькуляции '!C50</f>
        <v>Ремонт водопроводных кранов</v>
      </c>
      <c r="C68" s="71" t="s">
        <v>6</v>
      </c>
      <c r="D68" s="11">
        <f t="shared" si="5"/>
        <v>76.2714</v>
      </c>
      <c r="E68" s="11">
        <f t="shared" si="6"/>
        <v>13.7286</v>
      </c>
      <c r="F68" s="12">
        <f>'[1]Калькуляции '!R50+5</f>
        <v>90</v>
      </c>
      <c r="G68" s="55">
        <v>250</v>
      </c>
      <c r="H68" s="53">
        <f t="shared" si="2"/>
        <v>12.5</v>
      </c>
      <c r="I68" s="63">
        <f t="shared" si="9"/>
        <v>262.5</v>
      </c>
      <c r="J68" s="85">
        <f t="shared" si="3"/>
        <v>260</v>
      </c>
    </row>
    <row r="69" spans="1:10" x14ac:dyDescent="0.3">
      <c r="A69" s="7">
        <v>54</v>
      </c>
      <c r="B69" s="8" t="s">
        <v>32</v>
      </c>
      <c r="C69" s="71" t="s">
        <v>6</v>
      </c>
      <c r="D69" s="11"/>
      <c r="E69" s="11"/>
      <c r="F69" s="12"/>
      <c r="G69" s="55">
        <v>200</v>
      </c>
      <c r="H69" s="53">
        <f t="shared" si="2"/>
        <v>10</v>
      </c>
      <c r="I69" s="63">
        <f t="shared" si="9"/>
        <v>210</v>
      </c>
      <c r="J69" s="85">
        <f t="shared" si="3"/>
        <v>210</v>
      </c>
    </row>
    <row r="70" spans="1:10" ht="28.8" x14ac:dyDescent="0.3">
      <c r="A70" s="17">
        <v>55</v>
      </c>
      <c r="B70" s="8" t="str">
        <f>'[1]Калькуляции '!C51</f>
        <v>Присоединение 1 гибкого шланга (для стиральных машин или бойлера)</v>
      </c>
      <c r="C70" s="71" t="str">
        <f>'[1]Калькуляции '!D51</f>
        <v>1шланг</v>
      </c>
      <c r="D70" s="11">
        <f t="shared" si="5"/>
        <v>42.372999999999998</v>
      </c>
      <c r="E70" s="11">
        <f t="shared" si="6"/>
        <v>7.6270000000000007</v>
      </c>
      <c r="F70" s="12">
        <f>'[1]Калькуляции '!R51-3</f>
        <v>50</v>
      </c>
      <c r="G70" s="55">
        <f t="shared" si="7"/>
        <v>125</v>
      </c>
      <c r="H70" s="53">
        <f t="shared" si="2"/>
        <v>6.25</v>
      </c>
      <c r="I70" s="63">
        <f t="shared" si="9"/>
        <v>131.25</v>
      </c>
      <c r="J70" s="85">
        <f t="shared" si="3"/>
        <v>130</v>
      </c>
    </row>
    <row r="71" spans="1:10" x14ac:dyDescent="0.3">
      <c r="A71" s="7">
        <v>56</v>
      </c>
      <c r="B71" s="8" t="s">
        <v>33</v>
      </c>
      <c r="C71" s="71" t="s">
        <v>34</v>
      </c>
      <c r="D71" s="11"/>
      <c r="E71" s="11"/>
      <c r="F71" s="12"/>
      <c r="G71" s="56">
        <f>300/2*1.2</f>
        <v>180</v>
      </c>
      <c r="H71" s="53">
        <f t="shared" si="2"/>
        <v>9</v>
      </c>
      <c r="I71" s="63">
        <f t="shared" si="9"/>
        <v>189</v>
      </c>
      <c r="J71" s="85">
        <f t="shared" si="3"/>
        <v>190</v>
      </c>
    </row>
    <row r="72" spans="1:10" ht="28.8" x14ac:dyDescent="0.3">
      <c r="A72" s="17">
        <v>57</v>
      </c>
      <c r="B72" s="8" t="s">
        <v>35</v>
      </c>
      <c r="C72" s="71" t="s">
        <v>6</v>
      </c>
      <c r="D72" s="11"/>
      <c r="E72" s="11"/>
      <c r="F72" s="12"/>
      <c r="G72" s="56">
        <f>450/2*1.1+0.5+2</f>
        <v>250.00000000000003</v>
      </c>
      <c r="H72" s="53">
        <f t="shared" si="2"/>
        <v>12.500000000000002</v>
      </c>
      <c r="I72" s="63">
        <f t="shared" si="9"/>
        <v>262.50000000000006</v>
      </c>
      <c r="J72" s="85">
        <f t="shared" si="3"/>
        <v>260</v>
      </c>
    </row>
    <row r="73" spans="1:10" ht="28.8" x14ac:dyDescent="0.3">
      <c r="A73" s="7">
        <v>58</v>
      </c>
      <c r="B73" s="21" t="s">
        <v>36</v>
      </c>
      <c r="C73" s="71" t="s">
        <v>16</v>
      </c>
      <c r="D73" s="22"/>
      <c r="E73" s="22"/>
      <c r="F73" s="23"/>
      <c r="G73" s="57">
        <v>3500</v>
      </c>
      <c r="H73" s="53">
        <f t="shared" si="2"/>
        <v>175</v>
      </c>
      <c r="I73" s="63">
        <f t="shared" si="9"/>
        <v>3675</v>
      </c>
      <c r="J73" s="85">
        <f t="shared" si="3"/>
        <v>3680</v>
      </c>
    </row>
    <row r="74" spans="1:10" ht="15" thickBot="1" x14ac:dyDescent="0.35">
      <c r="A74" s="17">
        <v>59</v>
      </c>
      <c r="B74" s="24" t="s">
        <v>37</v>
      </c>
      <c r="C74" s="71" t="s">
        <v>6</v>
      </c>
      <c r="D74" s="25"/>
      <c r="E74" s="25"/>
      <c r="F74" s="26"/>
      <c r="G74" s="58">
        <f>500/2*1.1+25</f>
        <v>300</v>
      </c>
      <c r="H74" s="53">
        <f t="shared" si="2"/>
        <v>15</v>
      </c>
      <c r="I74" s="63">
        <f t="shared" si="9"/>
        <v>315</v>
      </c>
      <c r="J74" s="85">
        <f t="shared" si="3"/>
        <v>320</v>
      </c>
    </row>
    <row r="75" spans="1:10" ht="15" hidden="1" thickBot="1" x14ac:dyDescent="0.35">
      <c r="A75" s="100" t="str">
        <f>'[1]Калькуляции '!C52</f>
        <v xml:space="preserve">СТОЛЯРНЫЕ РАБОТЫ </v>
      </c>
      <c r="B75" s="101"/>
      <c r="C75" s="101"/>
      <c r="D75" s="101"/>
      <c r="E75" s="101"/>
      <c r="F75" s="101"/>
      <c r="G75" s="54">
        <f t="shared" si="7"/>
        <v>0</v>
      </c>
      <c r="H75" s="53">
        <f t="shared" si="2"/>
        <v>0</v>
      </c>
      <c r="I75" s="63">
        <f t="shared" si="9"/>
        <v>0</v>
      </c>
      <c r="J75" s="85">
        <f t="shared" si="3"/>
        <v>0</v>
      </c>
    </row>
    <row r="76" spans="1:10" ht="16.8" hidden="1" thickBot="1" x14ac:dyDescent="0.35">
      <c r="A76" s="7">
        <f>'[1]Калькуляции '!B53</f>
        <v>42</v>
      </c>
      <c r="B76" s="8" t="str">
        <f>'[1]Калькуляции '!C53</f>
        <v>Большой ремонт подоконников</v>
      </c>
      <c r="C76" s="9" t="s">
        <v>38</v>
      </c>
      <c r="D76" s="11">
        <f t="shared" si="5"/>
        <v>1688.9877799999999</v>
      </c>
      <c r="E76" s="11">
        <f t="shared" ref="E76:E119" si="10">F76*15.254%</f>
        <v>304.01222000000001</v>
      </c>
      <c r="F76" s="12">
        <f>'[1]Калькуляции '!R53</f>
        <v>1993</v>
      </c>
      <c r="G76" s="55">
        <f t="shared" si="7"/>
        <v>4982.5</v>
      </c>
      <c r="H76" s="53">
        <f t="shared" si="2"/>
        <v>249.125</v>
      </c>
      <c r="I76" s="63">
        <f t="shared" si="9"/>
        <v>5231.625</v>
      </c>
      <c r="J76" s="85">
        <f t="shared" si="3"/>
        <v>5230</v>
      </c>
    </row>
    <row r="77" spans="1:10" ht="15" hidden="1" thickBot="1" x14ac:dyDescent="0.35">
      <c r="A77" s="7">
        <f>'[1]Калькуляции '!B54</f>
        <v>43</v>
      </c>
      <c r="B77" s="8" t="str">
        <f>'[1]Калькуляции '!C54</f>
        <v>Изготовление форточек</v>
      </c>
      <c r="C77" s="10" t="str">
        <f>'[1]Калькуляции '!D54</f>
        <v>1штука</v>
      </c>
      <c r="D77" s="11">
        <f t="shared" si="5"/>
        <v>214.40737999999999</v>
      </c>
      <c r="E77" s="11">
        <f t="shared" si="10"/>
        <v>38.592620000000004</v>
      </c>
      <c r="F77" s="12">
        <f>'[1]Калькуляции '!R54</f>
        <v>253</v>
      </c>
      <c r="G77" s="55">
        <f t="shared" si="7"/>
        <v>632.5</v>
      </c>
      <c r="H77" s="53">
        <f t="shared" si="2"/>
        <v>31.625</v>
      </c>
      <c r="I77" s="63">
        <f t="shared" si="9"/>
        <v>664.125</v>
      </c>
      <c r="J77" s="85">
        <f t="shared" si="3"/>
        <v>660</v>
      </c>
    </row>
    <row r="78" spans="1:10" ht="15" hidden="1" thickBot="1" x14ac:dyDescent="0.35">
      <c r="A78" s="7">
        <f>'[1]Калькуляции '!B55</f>
        <v>44</v>
      </c>
      <c r="B78" s="8" t="str">
        <f>'[1]Калькуляции '!C55</f>
        <v>Смена форточек</v>
      </c>
      <c r="C78" s="10" t="str">
        <f>'[1]Калькуляции '!D55</f>
        <v>1штука</v>
      </c>
      <c r="D78" s="11">
        <f t="shared" si="5"/>
        <v>184.74628000000001</v>
      </c>
      <c r="E78" s="11">
        <f t="shared" si="10"/>
        <v>33.253720000000001</v>
      </c>
      <c r="F78" s="12">
        <f>'[1]Калькуляции '!R55</f>
        <v>218</v>
      </c>
      <c r="G78" s="55">
        <f t="shared" si="7"/>
        <v>545</v>
      </c>
      <c r="H78" s="53">
        <f t="shared" si="2"/>
        <v>27.25</v>
      </c>
      <c r="I78" s="63">
        <f t="shared" si="9"/>
        <v>572.25</v>
      </c>
      <c r="J78" s="85">
        <f t="shared" si="3"/>
        <v>570</v>
      </c>
    </row>
    <row r="79" spans="1:10" ht="29.4" hidden="1" thickBot="1" x14ac:dyDescent="0.35">
      <c r="A79" s="7">
        <f>'[1]Калькуляции '!B56</f>
        <v>45</v>
      </c>
      <c r="B79" s="8" t="str">
        <f>'[1]Калькуляции '!C56</f>
        <v>Замена неисправных дверных врезных замков</v>
      </c>
      <c r="C79" s="10" t="str">
        <f>'[1]Калькуляции '!D56</f>
        <v>1штука</v>
      </c>
      <c r="D79" s="11">
        <f t="shared" si="5"/>
        <v>131.3563</v>
      </c>
      <c r="E79" s="11">
        <f t="shared" si="10"/>
        <v>23.643700000000003</v>
      </c>
      <c r="F79" s="12">
        <f>'[1]Калькуляции '!R56</f>
        <v>155</v>
      </c>
      <c r="G79" s="55">
        <f t="shared" si="7"/>
        <v>387.5</v>
      </c>
      <c r="H79" s="53">
        <f t="shared" ref="H79:H142" si="11">G79*5%</f>
        <v>19.375</v>
      </c>
      <c r="I79" s="63">
        <f t="shared" si="9"/>
        <v>406.875</v>
      </c>
      <c r="J79" s="85">
        <f t="shared" ref="J79:J142" si="12">ROUND(I79,-1)</f>
        <v>410</v>
      </c>
    </row>
    <row r="80" spans="1:10" ht="15" hidden="1" thickBot="1" x14ac:dyDescent="0.35">
      <c r="A80" s="7">
        <f>'[1]Калькуляции '!B57</f>
        <v>46</v>
      </c>
      <c r="B80" s="8" t="str">
        <f>'[1]Калькуляции '!C57</f>
        <v>Замена неисправных дверных шпингалетов</v>
      </c>
      <c r="C80" s="10" t="str">
        <f>'[1]Калькуляции '!D57</f>
        <v>1комплект</v>
      </c>
      <c r="D80" s="11">
        <f t="shared" si="5"/>
        <v>262.71260000000001</v>
      </c>
      <c r="E80" s="11">
        <f t="shared" si="10"/>
        <v>47.287400000000005</v>
      </c>
      <c r="F80" s="12">
        <f>'[1]Калькуляции '!R57</f>
        <v>310</v>
      </c>
      <c r="G80" s="55">
        <f t="shared" si="7"/>
        <v>775</v>
      </c>
      <c r="H80" s="53">
        <f t="shared" si="11"/>
        <v>38.75</v>
      </c>
      <c r="I80" s="63">
        <f t="shared" si="9"/>
        <v>813.75</v>
      </c>
      <c r="J80" s="85">
        <f t="shared" si="12"/>
        <v>810</v>
      </c>
    </row>
    <row r="81" spans="1:10" ht="43.8" hidden="1" thickBot="1" x14ac:dyDescent="0.35">
      <c r="A81" s="7">
        <f>'[1]Калькуляции '!B58</f>
        <v>47</v>
      </c>
      <c r="B81" s="8" t="str">
        <f>'[1]Калькуляции '!C58</f>
        <v>Смена покрытия полов из плитки ПХВ или линолема площадью до 5м2 с установкой плинтусов</v>
      </c>
      <c r="C81" s="9" t="s">
        <v>38</v>
      </c>
      <c r="D81" s="11">
        <f t="shared" si="5"/>
        <v>159.32247999999998</v>
      </c>
      <c r="E81" s="11">
        <f t="shared" si="10"/>
        <v>28.677520000000001</v>
      </c>
      <c r="F81" s="12">
        <f>'[1]Калькуляции '!R58</f>
        <v>188</v>
      </c>
      <c r="G81" s="55">
        <f t="shared" si="7"/>
        <v>470</v>
      </c>
      <c r="H81" s="53">
        <f t="shared" si="11"/>
        <v>23.5</v>
      </c>
      <c r="I81" s="63">
        <f t="shared" si="9"/>
        <v>493.5</v>
      </c>
      <c r="J81" s="85">
        <f t="shared" si="12"/>
        <v>490</v>
      </c>
    </row>
    <row r="82" spans="1:10" ht="16.8" hidden="1" thickBot="1" x14ac:dyDescent="0.35">
      <c r="A82" s="7">
        <f>'[1]Калькуляции '!B59</f>
        <v>48</v>
      </c>
      <c r="B82" s="8" t="str">
        <f>'[1]Калькуляции '!C59</f>
        <v>Смена разбитых оконных стёкол</v>
      </c>
      <c r="C82" s="9" t="s">
        <v>38</v>
      </c>
      <c r="D82" s="11">
        <f t="shared" si="5"/>
        <v>362.71287999999998</v>
      </c>
      <c r="E82" s="11">
        <f t="shared" si="10"/>
        <v>65.287120000000002</v>
      </c>
      <c r="F82" s="12">
        <f>'[1]Калькуляции '!R59</f>
        <v>428</v>
      </c>
      <c r="G82" s="55">
        <f t="shared" si="7"/>
        <v>1070</v>
      </c>
      <c r="H82" s="53">
        <f t="shared" si="11"/>
        <v>53.5</v>
      </c>
      <c r="I82" s="63">
        <f t="shared" si="9"/>
        <v>1123.5</v>
      </c>
      <c r="J82" s="85">
        <f t="shared" si="12"/>
        <v>1120</v>
      </c>
    </row>
    <row r="83" spans="1:10" ht="15" hidden="1" thickBot="1" x14ac:dyDescent="0.35">
      <c r="A83" s="7">
        <f>'[1]Калькуляции '!B60</f>
        <v>49</v>
      </c>
      <c r="B83" s="8" t="str">
        <f>'[1]Калькуляции '!C60</f>
        <v xml:space="preserve">Смена плинтусов </v>
      </c>
      <c r="C83" s="10" t="str">
        <f>'[1]Калькуляции '!D60</f>
        <v>1м</v>
      </c>
      <c r="D83" s="11">
        <f t="shared" si="5"/>
        <v>103.39012</v>
      </c>
      <c r="E83" s="11">
        <f t="shared" si="10"/>
        <v>18.60988</v>
      </c>
      <c r="F83" s="12">
        <f>'[1]Калькуляции '!R60</f>
        <v>122</v>
      </c>
      <c r="G83" s="55">
        <f t="shared" si="7"/>
        <v>305</v>
      </c>
      <c r="H83" s="53">
        <f t="shared" si="11"/>
        <v>15.25</v>
      </c>
      <c r="I83" s="63">
        <f t="shared" si="9"/>
        <v>320.25</v>
      </c>
      <c r="J83" s="85">
        <f t="shared" si="12"/>
        <v>320</v>
      </c>
    </row>
    <row r="84" spans="1:10" ht="15" hidden="1" thickBot="1" x14ac:dyDescent="0.35">
      <c r="A84" s="7">
        <v>49</v>
      </c>
      <c r="B84" s="14" t="s">
        <v>39</v>
      </c>
      <c r="C84" s="10" t="str">
        <f>'[1]Калькуляции '!D61</f>
        <v>1 дверь</v>
      </c>
      <c r="D84" s="11">
        <f t="shared" si="5"/>
        <v>633.90008</v>
      </c>
      <c r="E84" s="11">
        <f t="shared" si="10"/>
        <v>114.09992000000001</v>
      </c>
      <c r="F84" s="12">
        <f>'[1]Калькуляции '!R61</f>
        <v>748</v>
      </c>
      <c r="G84" s="55">
        <f t="shared" si="7"/>
        <v>1870</v>
      </c>
      <c r="H84" s="53">
        <f t="shared" si="11"/>
        <v>93.5</v>
      </c>
      <c r="I84" s="63">
        <f t="shared" si="9"/>
        <v>1963.5</v>
      </c>
      <c r="J84" s="85">
        <f t="shared" si="12"/>
        <v>1960</v>
      </c>
    </row>
    <row r="85" spans="1:10" ht="15" hidden="1" thickBot="1" x14ac:dyDescent="0.35">
      <c r="A85" s="7"/>
      <c r="B85" s="14"/>
      <c r="C85" s="10"/>
      <c r="D85" s="11"/>
      <c r="E85" s="11"/>
      <c r="F85" s="12"/>
      <c r="G85" s="55"/>
      <c r="H85" s="53">
        <f t="shared" si="11"/>
        <v>0</v>
      </c>
      <c r="I85" s="63">
        <f t="shared" si="9"/>
        <v>0</v>
      </c>
      <c r="J85" s="85">
        <f t="shared" si="12"/>
        <v>0</v>
      </c>
    </row>
    <row r="86" spans="1:10" ht="15" hidden="1" thickBot="1" x14ac:dyDescent="0.35">
      <c r="A86" s="7"/>
      <c r="B86" s="14"/>
      <c r="C86" s="10"/>
      <c r="D86" s="11"/>
      <c r="E86" s="11"/>
      <c r="F86" s="12"/>
      <c r="G86" s="55"/>
      <c r="H86" s="53">
        <f t="shared" si="11"/>
        <v>0</v>
      </c>
      <c r="I86" s="63">
        <f t="shared" si="9"/>
        <v>0</v>
      </c>
      <c r="J86" s="85">
        <f t="shared" si="12"/>
        <v>0</v>
      </c>
    </row>
    <row r="87" spans="1:10" ht="15" hidden="1" thickBot="1" x14ac:dyDescent="0.35">
      <c r="A87" s="102" t="s">
        <v>40</v>
      </c>
      <c r="B87" s="103"/>
      <c r="C87" s="103"/>
      <c r="D87" s="103"/>
      <c r="E87" s="103"/>
      <c r="F87" s="103"/>
      <c r="G87" s="55">
        <f t="shared" si="7"/>
        <v>0</v>
      </c>
      <c r="H87" s="53">
        <f t="shared" si="11"/>
        <v>0</v>
      </c>
      <c r="I87" s="63">
        <f t="shared" si="9"/>
        <v>0</v>
      </c>
      <c r="J87" s="85">
        <f t="shared" si="12"/>
        <v>0</v>
      </c>
    </row>
    <row r="88" spans="1:10" ht="43.8" hidden="1" thickBot="1" x14ac:dyDescent="0.35">
      <c r="A88" s="7">
        <v>51</v>
      </c>
      <c r="B88" s="8" t="str">
        <f>'[1]Калькуляции '!C63</f>
        <v>Простукивание и отбивание старой,негодной штукатурки по каменной и бетонной поверхности</v>
      </c>
      <c r="C88" s="9" t="s">
        <v>38</v>
      </c>
      <c r="D88" s="11">
        <f t="shared" si="5"/>
        <v>48.305219999999998</v>
      </c>
      <c r="E88" s="11">
        <f t="shared" si="10"/>
        <v>8.6947799999999997</v>
      </c>
      <c r="F88" s="12">
        <f>'[1]Калькуляции '!R63</f>
        <v>57</v>
      </c>
      <c r="G88" s="55">
        <f t="shared" si="7"/>
        <v>142.5</v>
      </c>
      <c r="H88" s="53">
        <f t="shared" si="11"/>
        <v>7.125</v>
      </c>
      <c r="I88" s="63">
        <f t="shared" si="9"/>
        <v>149.625</v>
      </c>
      <c r="J88" s="85">
        <f t="shared" si="12"/>
        <v>150</v>
      </c>
    </row>
    <row r="89" spans="1:10" ht="43.8" hidden="1" thickBot="1" x14ac:dyDescent="0.35">
      <c r="A89" s="7">
        <v>52</v>
      </c>
      <c r="B89" s="8" t="str">
        <f>'[1]Калькуляции '!C64</f>
        <v>Простукивание и отбивание старой,негодной штукатурки по деревянным поверхностям стен и потолков</v>
      </c>
      <c r="C89" s="9" t="s">
        <v>38</v>
      </c>
      <c r="D89" s="11">
        <f t="shared" si="5"/>
        <v>66.949340000000007</v>
      </c>
      <c r="E89" s="11">
        <f t="shared" si="10"/>
        <v>12.050660000000001</v>
      </c>
      <c r="F89" s="12">
        <f>'[1]Калькуляции '!R64</f>
        <v>79</v>
      </c>
      <c r="G89" s="55">
        <f t="shared" si="7"/>
        <v>197.5</v>
      </c>
      <c r="H89" s="53">
        <f t="shared" si="11"/>
        <v>9.875</v>
      </c>
      <c r="I89" s="63">
        <f t="shared" si="9"/>
        <v>207.375</v>
      </c>
      <c r="J89" s="85">
        <f t="shared" si="12"/>
        <v>210</v>
      </c>
    </row>
    <row r="90" spans="1:10" ht="29.4" hidden="1" thickBot="1" x14ac:dyDescent="0.35">
      <c r="A90" s="7">
        <v>53</v>
      </c>
      <c r="B90" s="8" t="str">
        <f>'[1]Калькуляции '!C65</f>
        <v>Ремонт штукатурки стен отдельными местами площадью до 1м2</v>
      </c>
      <c r="C90" s="9" t="s">
        <v>38</v>
      </c>
      <c r="D90" s="11">
        <f t="shared" si="5"/>
        <v>317.79750000000001</v>
      </c>
      <c r="E90" s="11">
        <f t="shared" si="10"/>
        <v>57.202500000000001</v>
      </c>
      <c r="F90" s="12">
        <f>'[1]Калькуляции '!R65</f>
        <v>375</v>
      </c>
      <c r="G90" s="55">
        <f t="shared" si="7"/>
        <v>937.5</v>
      </c>
      <c r="H90" s="53">
        <f t="shared" si="11"/>
        <v>46.875</v>
      </c>
      <c r="I90" s="63">
        <f t="shared" si="9"/>
        <v>984.375</v>
      </c>
      <c r="J90" s="85">
        <f t="shared" si="12"/>
        <v>980</v>
      </c>
    </row>
    <row r="91" spans="1:10" ht="29.4" hidden="1" thickBot="1" x14ac:dyDescent="0.35">
      <c r="A91" s="7">
        <v>54</v>
      </c>
      <c r="B91" s="8" t="str">
        <f>'[1]Калькуляции '!C66</f>
        <v>Ремонт штукатурки потолков отдельными местами площадью до 1м2</v>
      </c>
      <c r="C91" s="9" t="s">
        <v>38</v>
      </c>
      <c r="D91" s="11">
        <f t="shared" si="5"/>
        <v>361.01796000000002</v>
      </c>
      <c r="E91" s="11">
        <f t="shared" si="10"/>
        <v>64.982039999999998</v>
      </c>
      <c r="F91" s="12">
        <f>'[1]Калькуляции '!R66</f>
        <v>426</v>
      </c>
      <c r="G91" s="55">
        <f t="shared" si="7"/>
        <v>1065</v>
      </c>
      <c r="H91" s="53">
        <f t="shared" si="11"/>
        <v>53.25</v>
      </c>
      <c r="I91" s="63">
        <f t="shared" si="9"/>
        <v>1118.25</v>
      </c>
      <c r="J91" s="85">
        <f t="shared" si="12"/>
        <v>1120</v>
      </c>
    </row>
    <row r="92" spans="1:10" ht="29.4" hidden="1" thickBot="1" x14ac:dyDescent="0.35">
      <c r="A92" s="7">
        <v>55</v>
      </c>
      <c r="B92" s="8" t="str">
        <f>'[1]Калькуляции '!C67</f>
        <v>Ремонт штукатурки стен отдельными местами площадью до 10м2</v>
      </c>
      <c r="C92" s="9" t="s">
        <v>38</v>
      </c>
      <c r="D92" s="11">
        <f t="shared" si="5"/>
        <v>218.64467999999999</v>
      </c>
      <c r="E92" s="11">
        <f t="shared" si="10"/>
        <v>39.355319999999999</v>
      </c>
      <c r="F92" s="12">
        <f>'[1]Калькуляции '!R67</f>
        <v>258</v>
      </c>
      <c r="G92" s="55">
        <f t="shared" si="7"/>
        <v>645</v>
      </c>
      <c r="H92" s="53">
        <f t="shared" si="11"/>
        <v>32.25</v>
      </c>
      <c r="I92" s="63">
        <f t="shared" si="9"/>
        <v>677.25</v>
      </c>
      <c r="J92" s="85">
        <f t="shared" si="12"/>
        <v>680</v>
      </c>
    </row>
    <row r="93" spans="1:10" ht="29.4" hidden="1" thickBot="1" x14ac:dyDescent="0.35">
      <c r="A93" s="7">
        <v>56</v>
      </c>
      <c r="B93" s="8" t="str">
        <f>'[1]Калькуляции '!C68</f>
        <v>Ремонт штукатурки потолков отдельными местами площадью до 10м2</v>
      </c>
      <c r="C93" s="9" t="s">
        <v>38</v>
      </c>
      <c r="D93" s="11">
        <f t="shared" si="5"/>
        <v>275.42449999999997</v>
      </c>
      <c r="E93" s="11">
        <f t="shared" si="10"/>
        <v>49.575500000000005</v>
      </c>
      <c r="F93" s="12">
        <f>'[1]Калькуляции '!R68</f>
        <v>325</v>
      </c>
      <c r="G93" s="55">
        <f t="shared" si="7"/>
        <v>812.5</v>
      </c>
      <c r="H93" s="53">
        <f t="shared" si="11"/>
        <v>40.625</v>
      </c>
      <c r="I93" s="63">
        <f t="shared" si="9"/>
        <v>853.125</v>
      </c>
      <c r="J93" s="85">
        <f t="shared" si="12"/>
        <v>850</v>
      </c>
    </row>
    <row r="94" spans="1:10" ht="16.8" hidden="1" thickBot="1" x14ac:dyDescent="0.35">
      <c r="A94" s="7">
        <v>57</v>
      </c>
      <c r="B94" s="8" t="str">
        <f>'[1]Калькуляции '!C69</f>
        <v>Перетирка внутренней штукатурки и потолков</v>
      </c>
      <c r="C94" s="9" t="s">
        <v>38</v>
      </c>
      <c r="D94" s="11">
        <f t="shared" si="5"/>
        <v>43.220460000000003</v>
      </c>
      <c r="E94" s="11">
        <f t="shared" si="10"/>
        <v>7.7795400000000008</v>
      </c>
      <c r="F94" s="12">
        <f>'[1]Калькуляции '!R69</f>
        <v>51</v>
      </c>
      <c r="G94" s="55">
        <f t="shared" si="7"/>
        <v>127.5</v>
      </c>
      <c r="H94" s="53">
        <f t="shared" si="11"/>
        <v>6.375</v>
      </c>
      <c r="I94" s="63">
        <f t="shared" si="9"/>
        <v>133.875</v>
      </c>
      <c r="J94" s="85">
        <f t="shared" si="12"/>
        <v>130</v>
      </c>
    </row>
    <row r="95" spans="1:10" ht="16.8" hidden="1" thickBot="1" x14ac:dyDescent="0.35">
      <c r="A95" s="7">
        <v>58</v>
      </c>
      <c r="B95" s="8" t="str">
        <f>'[1]Калькуляции '!C70</f>
        <v>Ремонт штукатурки откосов по камню</v>
      </c>
      <c r="C95" s="9" t="s">
        <v>38</v>
      </c>
      <c r="D95" s="11">
        <f t="shared" si="5"/>
        <v>393.22144000000003</v>
      </c>
      <c r="E95" s="11">
        <f t="shared" si="10"/>
        <v>70.778559999999999</v>
      </c>
      <c r="F95" s="12">
        <f>'[1]Калькуляции '!R70</f>
        <v>464</v>
      </c>
      <c r="G95" s="55">
        <f t="shared" si="7"/>
        <v>1160</v>
      </c>
      <c r="H95" s="53">
        <f t="shared" si="11"/>
        <v>58</v>
      </c>
      <c r="I95" s="63">
        <f t="shared" si="9"/>
        <v>1218</v>
      </c>
      <c r="J95" s="85">
        <f t="shared" si="12"/>
        <v>1220</v>
      </c>
    </row>
    <row r="96" spans="1:10" ht="16.8" hidden="1" thickBot="1" x14ac:dyDescent="0.35">
      <c r="A96" s="7">
        <v>59</v>
      </c>
      <c r="B96" s="8" t="str">
        <f>'[1]Калькуляции '!C71</f>
        <v>Ремонт штукатурки откосов по дереву</v>
      </c>
      <c r="C96" s="9" t="s">
        <v>38</v>
      </c>
      <c r="D96" s="11">
        <f t="shared" si="5"/>
        <v>416.95031999999998</v>
      </c>
      <c r="E96" s="11">
        <f t="shared" si="10"/>
        <v>75.049680000000009</v>
      </c>
      <c r="F96" s="12">
        <f>'[1]Калькуляции '!R71</f>
        <v>492</v>
      </c>
      <c r="G96" s="55">
        <f t="shared" si="7"/>
        <v>1230</v>
      </c>
      <c r="H96" s="53">
        <f t="shared" si="11"/>
        <v>61.5</v>
      </c>
      <c r="I96" s="63">
        <f t="shared" si="9"/>
        <v>1291.5</v>
      </c>
      <c r="J96" s="85">
        <f t="shared" si="12"/>
        <v>1290</v>
      </c>
    </row>
    <row r="97" spans="1:10" ht="29.4" hidden="1" thickBot="1" x14ac:dyDescent="0.35">
      <c r="A97" s="7">
        <v>60</v>
      </c>
      <c r="B97" s="8" t="str">
        <f>'[1]Калькуляции '!C72</f>
        <v>Заделка щелей в верхней части перегородок с проконопаткой и подмазкой раствором</v>
      </c>
      <c r="C97" s="9" t="s">
        <v>38</v>
      </c>
      <c r="D97" s="11">
        <f t="shared" si="5"/>
        <v>31.356020000000001</v>
      </c>
      <c r="E97" s="11">
        <f t="shared" si="10"/>
        <v>5.64398</v>
      </c>
      <c r="F97" s="12">
        <f>'[1]Калькуляции '!R72</f>
        <v>37</v>
      </c>
      <c r="G97" s="55">
        <f t="shared" si="7"/>
        <v>92.5</v>
      </c>
      <c r="H97" s="53">
        <f t="shared" si="11"/>
        <v>4.625</v>
      </c>
      <c r="I97" s="63">
        <f t="shared" si="9"/>
        <v>97.125</v>
      </c>
      <c r="J97" s="85">
        <f t="shared" si="12"/>
        <v>100</v>
      </c>
    </row>
    <row r="98" spans="1:10" ht="43.8" hidden="1" thickBot="1" x14ac:dyDescent="0.35">
      <c r="A98" s="7">
        <v>61</v>
      </c>
      <c r="B98" s="8" t="str">
        <f>'[1]Калькуляции '!C73</f>
        <v>Окраска стен и потолков клеевым колером с очисткой старой краски и подготовкой основания</v>
      </c>
      <c r="C98" s="9" t="s">
        <v>38</v>
      </c>
      <c r="D98" s="11">
        <f t="shared" si="5"/>
        <v>24.576340000000002</v>
      </c>
      <c r="E98" s="11">
        <f t="shared" si="10"/>
        <v>4.4236599999999999</v>
      </c>
      <c r="F98" s="12">
        <f>'[1]Калькуляции '!R73</f>
        <v>29</v>
      </c>
      <c r="G98" s="55">
        <f t="shared" si="7"/>
        <v>72.5</v>
      </c>
      <c r="H98" s="53">
        <f t="shared" si="11"/>
        <v>3.625</v>
      </c>
      <c r="I98" s="63">
        <f t="shared" si="9"/>
        <v>76.125</v>
      </c>
      <c r="J98" s="85">
        <f t="shared" si="12"/>
        <v>80</v>
      </c>
    </row>
    <row r="99" spans="1:10" ht="29.4" hidden="1" thickBot="1" x14ac:dyDescent="0.35">
      <c r="A99" s="7">
        <v>62</v>
      </c>
      <c r="B99" s="8" t="str">
        <f>'[1]Калькуляции '!C74</f>
        <v>Масляная окраска ранее окрашенных стен и потолков за 1 раз(освежение)</v>
      </c>
      <c r="C99" s="9" t="s">
        <v>38</v>
      </c>
      <c r="D99" s="11">
        <f t="shared" si="5"/>
        <v>27.966180000000001</v>
      </c>
      <c r="E99" s="11">
        <f t="shared" si="10"/>
        <v>5.0338200000000004</v>
      </c>
      <c r="F99" s="12">
        <f>'[1]Калькуляции '!R74</f>
        <v>33</v>
      </c>
      <c r="G99" s="55">
        <f t="shared" si="7"/>
        <v>82.5</v>
      </c>
      <c r="H99" s="53">
        <f t="shared" si="11"/>
        <v>4.125</v>
      </c>
      <c r="I99" s="63">
        <f t="shared" si="9"/>
        <v>86.625</v>
      </c>
      <c r="J99" s="85">
        <f t="shared" si="12"/>
        <v>90</v>
      </c>
    </row>
    <row r="100" spans="1:10" ht="27" hidden="1" customHeight="1" x14ac:dyDescent="0.35">
      <c r="A100" s="7">
        <v>63</v>
      </c>
      <c r="B100" s="8" t="str">
        <f>'[1]Калькуляции '!C75</f>
        <v>Масляная окраска ранее окрашенных полов за 1 раз(освежение)</v>
      </c>
      <c r="C100" s="9" t="s">
        <v>38</v>
      </c>
      <c r="D100" s="11">
        <f t="shared" si="5"/>
        <v>20.339040000000001</v>
      </c>
      <c r="E100" s="11">
        <f t="shared" si="10"/>
        <v>3.6609600000000002</v>
      </c>
      <c r="F100" s="12">
        <f>'[1]Калькуляции '!R75</f>
        <v>24</v>
      </c>
      <c r="G100" s="55">
        <f t="shared" si="7"/>
        <v>60</v>
      </c>
      <c r="H100" s="53">
        <f t="shared" si="11"/>
        <v>3</v>
      </c>
      <c r="I100" s="63">
        <f t="shared" si="9"/>
        <v>63</v>
      </c>
      <c r="J100" s="85">
        <f t="shared" si="12"/>
        <v>60</v>
      </c>
    </row>
    <row r="101" spans="1:10" ht="29.4" hidden="1" thickBot="1" x14ac:dyDescent="0.35">
      <c r="A101" s="7">
        <v>64</v>
      </c>
      <c r="B101" s="8" t="str">
        <f>'[1]Калькуляции '!C76</f>
        <v>Масляная окраска ранее окрашенных стен с расчисткой старой краски до 100% за 2 раза</v>
      </c>
      <c r="C101" s="9" t="s">
        <v>38</v>
      </c>
      <c r="D101" s="11">
        <f t="shared" si="5"/>
        <v>46.610299999999995</v>
      </c>
      <c r="E101" s="11">
        <f t="shared" si="10"/>
        <v>8.3897000000000013</v>
      </c>
      <c r="F101" s="12">
        <f>'[1]Калькуляции '!R76</f>
        <v>55</v>
      </c>
      <c r="G101" s="55">
        <f t="shared" si="7"/>
        <v>137.5</v>
      </c>
      <c r="H101" s="53">
        <f t="shared" si="11"/>
        <v>6.875</v>
      </c>
      <c r="I101" s="63">
        <f t="shared" si="9"/>
        <v>144.375</v>
      </c>
      <c r="J101" s="85">
        <f t="shared" si="12"/>
        <v>140</v>
      </c>
    </row>
    <row r="102" spans="1:10" ht="43.8" hidden="1" thickBot="1" x14ac:dyDescent="0.35">
      <c r="A102" s="7">
        <v>65</v>
      </c>
      <c r="B102" s="8" t="str">
        <f>'[1]Калькуляции '!C77</f>
        <v>Масляная окраска ранее окрашенных потолков с расчисткой старой краски до 100% за 2 раза</v>
      </c>
      <c r="C102" s="9" t="s">
        <v>38</v>
      </c>
      <c r="D102" s="11">
        <f t="shared" ref="D102:D119" si="13">F102-E102</f>
        <v>63.5595</v>
      </c>
      <c r="E102" s="11">
        <f t="shared" si="10"/>
        <v>11.4405</v>
      </c>
      <c r="F102" s="12">
        <f>'[1]Калькуляции '!R77</f>
        <v>75</v>
      </c>
      <c r="G102" s="55">
        <f t="shared" si="7"/>
        <v>187.5</v>
      </c>
      <c r="H102" s="53">
        <f t="shared" si="11"/>
        <v>9.375</v>
      </c>
      <c r="I102" s="63">
        <f t="shared" si="9"/>
        <v>196.875</v>
      </c>
      <c r="J102" s="85">
        <f t="shared" si="12"/>
        <v>200</v>
      </c>
    </row>
    <row r="103" spans="1:10" ht="29.4" hidden="1" thickBot="1" x14ac:dyDescent="0.35">
      <c r="A103" s="7">
        <v>66</v>
      </c>
      <c r="B103" s="8" t="str">
        <f>'[1]Калькуляции '!C78</f>
        <v>Масляная окраска ранее окрашенных полов с расчисткой старой краски до 100% за 2 раза</v>
      </c>
      <c r="C103" s="9" t="s">
        <v>38</v>
      </c>
      <c r="D103" s="11">
        <f t="shared" si="13"/>
        <v>52.542519999999996</v>
      </c>
      <c r="E103" s="11">
        <f t="shared" si="10"/>
        <v>9.4574800000000003</v>
      </c>
      <c r="F103" s="12">
        <f>'[1]Калькуляции '!R78</f>
        <v>62</v>
      </c>
      <c r="G103" s="55">
        <f t="shared" si="7"/>
        <v>155</v>
      </c>
      <c r="H103" s="53">
        <f t="shared" si="11"/>
        <v>7.75</v>
      </c>
      <c r="I103" s="63">
        <f t="shared" si="9"/>
        <v>162.75</v>
      </c>
      <c r="J103" s="85">
        <f t="shared" si="12"/>
        <v>160</v>
      </c>
    </row>
    <row r="104" spans="1:10" ht="26.25" hidden="1" customHeight="1" x14ac:dyDescent="0.35">
      <c r="A104" s="7">
        <v>67</v>
      </c>
      <c r="B104" s="8" t="str">
        <f>'[1]Калькуляции '!C79</f>
        <v>Масляная окраска оштукатуренных стен внутри помещения (простая)</v>
      </c>
      <c r="C104" s="9" t="s">
        <v>38</v>
      </c>
      <c r="D104" s="11">
        <f t="shared" si="13"/>
        <v>37.288240000000002</v>
      </c>
      <c r="E104" s="11">
        <f t="shared" si="10"/>
        <v>6.7117599999999999</v>
      </c>
      <c r="F104" s="12">
        <f>'[1]Калькуляции '!R79</f>
        <v>44</v>
      </c>
      <c r="G104" s="55">
        <f t="shared" si="7"/>
        <v>110</v>
      </c>
      <c r="H104" s="53">
        <f t="shared" si="11"/>
        <v>5.5</v>
      </c>
      <c r="I104" s="63">
        <f t="shared" si="9"/>
        <v>115.5</v>
      </c>
      <c r="J104" s="85">
        <f t="shared" si="12"/>
        <v>120</v>
      </c>
    </row>
    <row r="105" spans="1:10" ht="27" hidden="1" customHeight="1" x14ac:dyDescent="0.35">
      <c r="A105" s="7">
        <v>68</v>
      </c>
      <c r="B105" s="8" t="str">
        <f>'[1]Калькуляции '!C80</f>
        <v>Масляная окраска оштукатуренных стен внутри помещения (улучшенная)</v>
      </c>
      <c r="C105" s="9" t="s">
        <v>38</v>
      </c>
      <c r="D105" s="11">
        <f t="shared" si="13"/>
        <v>108.47488</v>
      </c>
      <c r="E105" s="11">
        <f t="shared" si="10"/>
        <v>19.525120000000001</v>
      </c>
      <c r="F105" s="12">
        <f>'[1]Калькуляции '!R80</f>
        <v>128</v>
      </c>
      <c r="G105" s="55">
        <f t="shared" si="7"/>
        <v>320</v>
      </c>
      <c r="H105" s="53">
        <f t="shared" si="11"/>
        <v>16</v>
      </c>
      <c r="I105" s="63">
        <f t="shared" si="9"/>
        <v>336</v>
      </c>
      <c r="J105" s="85">
        <f t="shared" si="12"/>
        <v>340</v>
      </c>
    </row>
    <row r="106" spans="1:10" ht="29.4" hidden="1" thickBot="1" x14ac:dyDescent="0.35">
      <c r="A106" s="7">
        <v>69</v>
      </c>
      <c r="B106" s="8" t="str">
        <f>'[1]Калькуляции '!C81</f>
        <v>Масляная окраска за 1 раз (освежение) ранее окрашенных оконных проёмов</v>
      </c>
      <c r="C106" s="9" t="s">
        <v>38</v>
      </c>
      <c r="D106" s="11">
        <f t="shared" si="13"/>
        <v>184.74628000000001</v>
      </c>
      <c r="E106" s="11">
        <f t="shared" si="10"/>
        <v>33.253720000000001</v>
      </c>
      <c r="F106" s="12">
        <f>'[1]Калькуляции '!R81</f>
        <v>218</v>
      </c>
      <c r="G106" s="55">
        <f t="shared" si="7"/>
        <v>545</v>
      </c>
      <c r="H106" s="53">
        <f t="shared" si="11"/>
        <v>27.25</v>
      </c>
      <c r="I106" s="63">
        <f t="shared" si="9"/>
        <v>572.25</v>
      </c>
      <c r="J106" s="85">
        <f t="shared" si="12"/>
        <v>570</v>
      </c>
    </row>
    <row r="107" spans="1:10" ht="29.4" hidden="1" thickBot="1" x14ac:dyDescent="0.35">
      <c r="A107" s="7">
        <v>70</v>
      </c>
      <c r="B107" s="8" t="str">
        <f>'[1]Калькуляции '!C82</f>
        <v>Масляная окраска за 2 раза с расчисткой до 10% ранее окрашенных оконных проёмов</v>
      </c>
      <c r="C107" s="9" t="s">
        <v>38</v>
      </c>
      <c r="D107" s="11">
        <f t="shared" si="13"/>
        <v>393.22144000000003</v>
      </c>
      <c r="E107" s="11">
        <f t="shared" si="10"/>
        <v>70.778559999999999</v>
      </c>
      <c r="F107" s="12">
        <f>'[1]Калькуляции '!R82</f>
        <v>464</v>
      </c>
      <c r="G107" s="55">
        <f t="shared" si="7"/>
        <v>1160</v>
      </c>
      <c r="H107" s="53">
        <f t="shared" si="11"/>
        <v>58</v>
      </c>
      <c r="I107" s="63">
        <f t="shared" ref="I107:I156" si="14">G107+H107</f>
        <v>1218</v>
      </c>
      <c r="J107" s="85">
        <f t="shared" si="12"/>
        <v>1220</v>
      </c>
    </row>
    <row r="108" spans="1:10" ht="43.8" hidden="1" thickBot="1" x14ac:dyDescent="0.35">
      <c r="A108" s="7">
        <v>71</v>
      </c>
      <c r="B108" s="8" t="str">
        <f>'[1]Калькуляции '!C83</f>
        <v>Масляная окраска за 1 раз (освежение) ранее окрашенных однопольных и двупольных дверей</v>
      </c>
      <c r="C108" s="9" t="s">
        <v>38</v>
      </c>
      <c r="D108" s="11">
        <f t="shared" si="13"/>
        <v>140.67836</v>
      </c>
      <c r="E108" s="11">
        <f t="shared" si="10"/>
        <v>25.321640000000002</v>
      </c>
      <c r="F108" s="12">
        <f>'[1]Калькуляции '!R83</f>
        <v>166</v>
      </c>
      <c r="G108" s="55">
        <f t="shared" si="7"/>
        <v>415</v>
      </c>
      <c r="H108" s="53">
        <f t="shared" si="11"/>
        <v>20.75</v>
      </c>
      <c r="I108" s="63">
        <f t="shared" si="14"/>
        <v>435.75</v>
      </c>
      <c r="J108" s="85">
        <f t="shared" si="12"/>
        <v>440</v>
      </c>
    </row>
    <row r="109" spans="1:10" ht="43.8" hidden="1" thickBot="1" x14ac:dyDescent="0.35">
      <c r="A109" s="7">
        <v>72</v>
      </c>
      <c r="B109" s="8" t="str">
        <f>'[1]Калькуляции '!C84</f>
        <v>Масляная окраска за 2 раза с расчисткой до 10% ранее окрашенных однопольных и двупольных дверей</v>
      </c>
      <c r="C109" s="9" t="s">
        <v>38</v>
      </c>
      <c r="D109" s="11">
        <f t="shared" si="13"/>
        <v>308.47543999999999</v>
      </c>
      <c r="E109" s="11">
        <f t="shared" si="10"/>
        <v>55.524560000000001</v>
      </c>
      <c r="F109" s="12">
        <f>'[1]Калькуляции '!R84</f>
        <v>364</v>
      </c>
      <c r="G109" s="55">
        <f t="shared" si="7"/>
        <v>910</v>
      </c>
      <c r="H109" s="53">
        <f t="shared" si="11"/>
        <v>45.5</v>
      </c>
      <c r="I109" s="63">
        <f t="shared" si="14"/>
        <v>955.5</v>
      </c>
      <c r="J109" s="85">
        <f t="shared" si="12"/>
        <v>960</v>
      </c>
    </row>
    <row r="110" spans="1:10" ht="28.5" hidden="1" customHeight="1" x14ac:dyDescent="0.35">
      <c r="A110" s="7">
        <v>73</v>
      </c>
      <c r="B110" s="8" t="str">
        <f>'[1]Калькуляции '!C85</f>
        <v>Смена обоев со сдиранием старых и подклейкой стен бумагой</v>
      </c>
      <c r="C110" s="9" t="s">
        <v>38</v>
      </c>
      <c r="D110" s="11">
        <f t="shared" si="13"/>
        <v>70.339179999999999</v>
      </c>
      <c r="E110" s="11">
        <f t="shared" si="10"/>
        <v>12.660820000000001</v>
      </c>
      <c r="F110" s="12">
        <f>'[1]Калькуляции '!R85</f>
        <v>83</v>
      </c>
      <c r="G110" s="55">
        <f t="shared" si="7"/>
        <v>207.5</v>
      </c>
      <c r="H110" s="53">
        <f t="shared" si="11"/>
        <v>10.375</v>
      </c>
      <c r="I110" s="63">
        <f t="shared" si="14"/>
        <v>217.875</v>
      </c>
      <c r="J110" s="85">
        <f t="shared" si="12"/>
        <v>220</v>
      </c>
    </row>
    <row r="111" spans="1:10" ht="29.4" hidden="1" thickBot="1" x14ac:dyDescent="0.35">
      <c r="A111" s="7">
        <v>74</v>
      </c>
      <c r="B111" s="8" t="str">
        <f>'[1]Калькуляции '!C86</f>
        <v>Окраска масляной краской радиаторов по ранее окрашенной поверхности за 1раз</v>
      </c>
      <c r="C111" s="9" t="s">
        <v>38</v>
      </c>
      <c r="D111" s="11">
        <f t="shared" si="13"/>
        <v>70.339179999999999</v>
      </c>
      <c r="E111" s="11">
        <f t="shared" si="10"/>
        <v>12.660820000000001</v>
      </c>
      <c r="F111" s="12">
        <f>'[1]Калькуляции '!R86</f>
        <v>83</v>
      </c>
      <c r="G111" s="55">
        <f t="shared" si="7"/>
        <v>207.5</v>
      </c>
      <c r="H111" s="53">
        <f t="shared" si="11"/>
        <v>10.375</v>
      </c>
      <c r="I111" s="63">
        <f t="shared" si="14"/>
        <v>217.875</v>
      </c>
      <c r="J111" s="85">
        <f t="shared" si="12"/>
        <v>220</v>
      </c>
    </row>
    <row r="112" spans="1:10" ht="58.2" hidden="1" thickBot="1" x14ac:dyDescent="0.35">
      <c r="A112" s="7">
        <v>75</v>
      </c>
      <c r="B112" s="8" t="str">
        <f>'[1]Калькуляции '!C87</f>
        <v>Окраска масляной краской решеток сантехприборов и металлических поверхностей по ранее окрашенной поверхности за 1раз</v>
      </c>
      <c r="C112" s="9" t="s">
        <v>38</v>
      </c>
      <c r="D112" s="11">
        <f t="shared" si="13"/>
        <v>76.2714</v>
      </c>
      <c r="E112" s="11">
        <f t="shared" si="10"/>
        <v>13.7286</v>
      </c>
      <c r="F112" s="12">
        <f>'[1]Калькуляции '!R87</f>
        <v>90</v>
      </c>
      <c r="G112" s="55">
        <f t="shared" si="7"/>
        <v>225</v>
      </c>
      <c r="H112" s="53">
        <f t="shared" si="11"/>
        <v>11.25</v>
      </c>
      <c r="I112" s="63">
        <f t="shared" si="14"/>
        <v>236.25</v>
      </c>
      <c r="J112" s="85">
        <f t="shared" si="12"/>
        <v>240</v>
      </c>
    </row>
    <row r="113" spans="1:10" ht="15" hidden="1" thickBot="1" x14ac:dyDescent="0.35">
      <c r="A113" s="7">
        <v>76</v>
      </c>
      <c r="B113" s="8" t="str">
        <f>'[1]Калькуляции '!C88</f>
        <v>Укрепление оставшихся потолочных розеток</v>
      </c>
      <c r="C113" s="8" t="str">
        <f>'[1]Калькуляции '!D88</f>
        <v>1розетка</v>
      </c>
      <c r="D113" s="11">
        <f t="shared" si="13"/>
        <v>131.3563</v>
      </c>
      <c r="E113" s="11">
        <f t="shared" si="10"/>
        <v>23.643700000000003</v>
      </c>
      <c r="F113" s="12">
        <f>'[1]Калькуляции '!R88</f>
        <v>155</v>
      </c>
      <c r="G113" s="55">
        <f t="shared" si="7"/>
        <v>387.5</v>
      </c>
      <c r="H113" s="53">
        <f t="shared" si="11"/>
        <v>19.375</v>
      </c>
      <c r="I113" s="63">
        <f t="shared" si="14"/>
        <v>406.875</v>
      </c>
      <c r="J113" s="85">
        <f t="shared" si="12"/>
        <v>410</v>
      </c>
    </row>
    <row r="114" spans="1:10" ht="29.4" hidden="1" thickBot="1" x14ac:dyDescent="0.35">
      <c r="A114" s="7">
        <v>77</v>
      </c>
      <c r="B114" s="8" t="str">
        <f>'[1]Калькуляции '!C89</f>
        <v xml:space="preserve">Укрепление оставшихся лепных погонных деталей высотой до 5см </v>
      </c>
      <c r="C114" s="8" t="str">
        <f>'[1]Калькуляции '!D89</f>
        <v>1м</v>
      </c>
      <c r="D114" s="11">
        <f t="shared" si="13"/>
        <v>61.864580000000004</v>
      </c>
      <c r="E114" s="11">
        <f t="shared" si="10"/>
        <v>11.13542</v>
      </c>
      <c r="F114" s="12">
        <f>'[1]Калькуляции '!R89</f>
        <v>73</v>
      </c>
      <c r="G114" s="55">
        <f t="shared" si="7"/>
        <v>182.5</v>
      </c>
      <c r="H114" s="53">
        <f t="shared" si="11"/>
        <v>9.125</v>
      </c>
      <c r="I114" s="63">
        <f t="shared" si="14"/>
        <v>191.625</v>
      </c>
      <c r="J114" s="85">
        <f t="shared" si="12"/>
        <v>190</v>
      </c>
    </row>
    <row r="115" spans="1:10" ht="29.4" hidden="1" thickBot="1" x14ac:dyDescent="0.35">
      <c r="A115" s="7">
        <v>78</v>
      </c>
      <c r="B115" s="8" t="str">
        <f>'[1]Калькуляции '!C90</f>
        <v xml:space="preserve">Укрепление оставшихся лепных погонных деталей высотой до 10см </v>
      </c>
      <c r="C115" s="8" t="str">
        <f>'[1]Калькуляции '!D90</f>
        <v>1м</v>
      </c>
      <c r="D115" s="11">
        <f t="shared" si="13"/>
        <v>71.186639999999997</v>
      </c>
      <c r="E115" s="11">
        <f t="shared" si="10"/>
        <v>12.813360000000001</v>
      </c>
      <c r="F115" s="12">
        <f>'[1]Калькуляции '!R90</f>
        <v>84</v>
      </c>
      <c r="G115" s="55">
        <f t="shared" si="7"/>
        <v>210</v>
      </c>
      <c r="H115" s="53">
        <f t="shared" si="11"/>
        <v>10.5</v>
      </c>
      <c r="I115" s="63">
        <f t="shared" si="14"/>
        <v>220.5</v>
      </c>
      <c r="J115" s="85">
        <f t="shared" si="12"/>
        <v>220</v>
      </c>
    </row>
    <row r="116" spans="1:10" ht="16.8" hidden="1" thickBot="1" x14ac:dyDescent="0.35">
      <c r="A116" s="7">
        <v>79</v>
      </c>
      <c r="B116" s="8" t="str">
        <f>'[1]Калькуляции '!C91</f>
        <v>Ручное приготовление растворов</v>
      </c>
      <c r="C116" s="9" t="s">
        <v>41</v>
      </c>
      <c r="D116" s="11">
        <f t="shared" si="13"/>
        <v>361.01796000000002</v>
      </c>
      <c r="E116" s="11">
        <f t="shared" si="10"/>
        <v>64.982039999999998</v>
      </c>
      <c r="F116" s="12">
        <f>'[1]Калькуляции '!R91</f>
        <v>426</v>
      </c>
      <c r="G116" s="55">
        <f>F116*$G$9</f>
        <v>1065</v>
      </c>
      <c r="H116" s="53">
        <f t="shared" si="11"/>
        <v>53.25</v>
      </c>
      <c r="I116" s="63">
        <f t="shared" si="14"/>
        <v>1118.25</v>
      </c>
      <c r="J116" s="85">
        <f t="shared" si="12"/>
        <v>1120</v>
      </c>
    </row>
    <row r="117" spans="1:10" ht="29.4" hidden="1" thickBot="1" x14ac:dyDescent="0.35">
      <c r="A117" s="7">
        <v>80</v>
      </c>
      <c r="B117" s="8" t="str">
        <f>'[1]Калькуляции '!C92</f>
        <v>Ремонт выбоин в цементных полах площадью до 0,25м2 раствором</v>
      </c>
      <c r="C117" s="8" t="str">
        <f>'[1]Калькуляции '!D92</f>
        <v>1место</v>
      </c>
      <c r="D117" s="11">
        <f t="shared" si="13"/>
        <v>54.237439999999999</v>
      </c>
      <c r="E117" s="11">
        <f t="shared" si="10"/>
        <v>9.7625600000000006</v>
      </c>
      <c r="F117" s="12">
        <f>'[1]Калькуляции '!R92</f>
        <v>64</v>
      </c>
      <c r="G117" s="55">
        <f>F117*$G$9</f>
        <v>160</v>
      </c>
      <c r="H117" s="53">
        <f t="shared" si="11"/>
        <v>8</v>
      </c>
      <c r="I117" s="63">
        <f t="shared" si="14"/>
        <v>168</v>
      </c>
      <c r="J117" s="85">
        <f t="shared" si="12"/>
        <v>170</v>
      </c>
    </row>
    <row r="118" spans="1:10" ht="26.25" hidden="1" customHeight="1" x14ac:dyDescent="0.35">
      <c r="A118" s="7">
        <v>81</v>
      </c>
      <c r="B118" s="8" t="str">
        <f>'[1]Калькуляции '!C93</f>
        <v>Ремонт выбоин в цементных чистых полах площадью до 0,5м2 раствором</v>
      </c>
      <c r="C118" s="8" t="str">
        <f>'[1]Калькуляции '!D93</f>
        <v>1место</v>
      </c>
      <c r="D118" s="11">
        <f t="shared" si="13"/>
        <v>100.84774</v>
      </c>
      <c r="E118" s="11">
        <f t="shared" si="10"/>
        <v>18.152260000000002</v>
      </c>
      <c r="F118" s="12">
        <f>'[1]Калькуляции '!R93</f>
        <v>119</v>
      </c>
      <c r="G118" s="55">
        <f>F118*$G$9</f>
        <v>297.5</v>
      </c>
      <c r="H118" s="53">
        <f t="shared" si="11"/>
        <v>14.875</v>
      </c>
      <c r="I118" s="63">
        <f t="shared" si="14"/>
        <v>312.375</v>
      </c>
      <c r="J118" s="85">
        <f t="shared" si="12"/>
        <v>310</v>
      </c>
    </row>
    <row r="119" spans="1:10" ht="29.4" hidden="1" thickBot="1" x14ac:dyDescent="0.35">
      <c r="A119" s="78">
        <v>82</v>
      </c>
      <c r="B119" s="29" t="str">
        <f>'[1]Калькуляции '!C94</f>
        <v>Смена керамических плиток отдельными местами до 10штук в одном месте стены</v>
      </c>
      <c r="C119" s="29" t="str">
        <f>'[1]Калькуляции '!D94</f>
        <v>1плитка</v>
      </c>
      <c r="D119" s="22">
        <f t="shared" si="13"/>
        <v>38.983159999999998</v>
      </c>
      <c r="E119" s="22">
        <f t="shared" si="10"/>
        <v>7.0168400000000002</v>
      </c>
      <c r="F119" s="23">
        <f>'[1]Калькуляции '!R94</f>
        <v>46</v>
      </c>
      <c r="G119" s="59">
        <f>F119*$G$9</f>
        <v>115</v>
      </c>
      <c r="H119" s="74">
        <f t="shared" si="11"/>
        <v>5.75</v>
      </c>
      <c r="I119" s="75">
        <f t="shared" si="14"/>
        <v>120.75</v>
      </c>
      <c r="J119" s="86">
        <f t="shared" si="12"/>
        <v>120</v>
      </c>
    </row>
    <row r="120" spans="1:10" ht="33.6" customHeight="1" thickBot="1" x14ac:dyDescent="0.35">
      <c r="A120" s="94" t="s">
        <v>42</v>
      </c>
      <c r="B120" s="95"/>
      <c r="C120" s="95"/>
      <c r="D120" s="95"/>
      <c r="E120" s="95"/>
      <c r="F120" s="95"/>
      <c r="G120" s="95"/>
      <c r="H120" s="95"/>
      <c r="I120" s="95"/>
      <c r="J120" s="96"/>
    </row>
    <row r="121" spans="1:10" ht="26.25" customHeight="1" x14ac:dyDescent="0.3">
      <c r="A121" s="121">
        <v>60</v>
      </c>
      <c r="B121" s="111" t="s">
        <v>43</v>
      </c>
      <c r="C121" s="112" t="str">
        <f>'[1]Калькуляции '!D97</f>
        <v>1прол.между ревиз.</v>
      </c>
      <c r="D121" s="113">
        <f t="shared" ref="D121:D149" si="15">F121-E121</f>
        <v>93.22059999999999</v>
      </c>
      <c r="E121" s="113">
        <f>F121*15.254%</f>
        <v>16.779400000000003</v>
      </c>
      <c r="F121" s="114">
        <f>'[1]Калькуляции '!R97-4</f>
        <v>110</v>
      </c>
      <c r="G121" s="61">
        <v>500</v>
      </c>
      <c r="H121" s="115">
        <f t="shared" si="11"/>
        <v>25</v>
      </c>
      <c r="I121" s="116">
        <f t="shared" si="14"/>
        <v>525</v>
      </c>
      <c r="J121" s="117">
        <f t="shared" si="12"/>
        <v>530</v>
      </c>
    </row>
    <row r="122" spans="1:10" ht="26.25" customHeight="1" x14ac:dyDescent="0.3">
      <c r="A122" s="110">
        <v>61</v>
      </c>
      <c r="B122" s="118" t="s">
        <v>44</v>
      </c>
      <c r="C122" s="30" t="s">
        <v>45</v>
      </c>
      <c r="D122" s="11"/>
      <c r="E122" s="11"/>
      <c r="F122" s="43"/>
      <c r="G122" s="55">
        <v>3000</v>
      </c>
      <c r="H122" s="53">
        <f t="shared" si="11"/>
        <v>150</v>
      </c>
      <c r="I122" s="63">
        <f t="shared" si="14"/>
        <v>3150</v>
      </c>
      <c r="J122" s="85">
        <f t="shared" si="12"/>
        <v>3150</v>
      </c>
    </row>
    <row r="123" spans="1:10" ht="26.25" customHeight="1" x14ac:dyDescent="0.3">
      <c r="A123" s="110">
        <v>62</v>
      </c>
      <c r="B123" s="118" t="s">
        <v>46</v>
      </c>
      <c r="C123" s="30" t="s">
        <v>6</v>
      </c>
      <c r="D123" s="11"/>
      <c r="E123" s="11"/>
      <c r="F123" s="43"/>
      <c r="G123" s="55">
        <v>1000</v>
      </c>
      <c r="H123" s="53">
        <f t="shared" si="11"/>
        <v>50</v>
      </c>
      <c r="I123" s="63">
        <f t="shared" si="14"/>
        <v>1050</v>
      </c>
      <c r="J123" s="85">
        <f t="shared" si="12"/>
        <v>1050</v>
      </c>
    </row>
    <row r="124" spans="1:10" ht="26.25" customHeight="1" x14ac:dyDescent="0.3">
      <c r="A124" s="110">
        <v>63</v>
      </c>
      <c r="B124" s="118" t="s">
        <v>47</v>
      </c>
      <c r="C124" s="30" t="s">
        <v>6</v>
      </c>
      <c r="D124" s="11"/>
      <c r="E124" s="11"/>
      <c r="F124" s="43"/>
      <c r="G124" s="55">
        <v>500</v>
      </c>
      <c r="H124" s="53">
        <f t="shared" si="11"/>
        <v>25</v>
      </c>
      <c r="I124" s="63">
        <f t="shared" si="14"/>
        <v>525</v>
      </c>
      <c r="J124" s="85">
        <f t="shared" si="12"/>
        <v>530</v>
      </c>
    </row>
    <row r="125" spans="1:10" ht="26.25" customHeight="1" x14ac:dyDescent="0.3">
      <c r="A125" s="110">
        <v>64</v>
      </c>
      <c r="B125" s="118" t="s">
        <v>48</v>
      </c>
      <c r="C125" s="30" t="s">
        <v>6</v>
      </c>
      <c r="D125" s="11"/>
      <c r="E125" s="11"/>
      <c r="F125" s="43"/>
      <c r="G125" s="55">
        <v>700</v>
      </c>
      <c r="H125" s="53">
        <f t="shared" si="11"/>
        <v>35</v>
      </c>
      <c r="I125" s="63">
        <f t="shared" si="14"/>
        <v>735</v>
      </c>
      <c r="J125" s="85">
        <f t="shared" si="12"/>
        <v>740</v>
      </c>
    </row>
    <row r="126" spans="1:10" ht="15.75" customHeight="1" x14ac:dyDescent="0.3">
      <c r="A126" s="110">
        <v>65</v>
      </c>
      <c r="B126" s="118" t="s">
        <v>49</v>
      </c>
      <c r="C126" s="30" t="str">
        <f>'[1]Калькуляции '!D98</f>
        <v>1унитаз</v>
      </c>
      <c r="D126" s="11">
        <f t="shared" si="15"/>
        <v>76.2714</v>
      </c>
      <c r="E126" s="11">
        <f>F126*15.254%</f>
        <v>13.7286</v>
      </c>
      <c r="F126" s="43">
        <f>'[1]Калькуляции '!R98-1</f>
        <v>90</v>
      </c>
      <c r="G126" s="55">
        <f>F126*$G$9+5</f>
        <v>230</v>
      </c>
      <c r="H126" s="53">
        <f t="shared" si="11"/>
        <v>11.5</v>
      </c>
      <c r="I126" s="63">
        <f t="shared" si="14"/>
        <v>241.5</v>
      </c>
      <c r="J126" s="85">
        <f t="shared" si="12"/>
        <v>240</v>
      </c>
    </row>
    <row r="127" spans="1:10" ht="15.75" customHeight="1" x14ac:dyDescent="0.3">
      <c r="A127" s="110">
        <v>66</v>
      </c>
      <c r="B127" s="118" t="s">
        <v>50</v>
      </c>
      <c r="C127" s="30" t="str">
        <f>'[1]Калькуляции '!D99</f>
        <v>1унитаз</v>
      </c>
      <c r="D127" s="11">
        <f t="shared" si="15"/>
        <v>211.86500000000001</v>
      </c>
      <c r="E127" s="11">
        <f>F127*15.254%</f>
        <v>38.135000000000005</v>
      </c>
      <c r="F127" s="43">
        <f>'[1]Калькуляции '!R99+2</f>
        <v>250</v>
      </c>
      <c r="G127" s="56">
        <v>1000</v>
      </c>
      <c r="H127" s="53">
        <f t="shared" si="11"/>
        <v>50</v>
      </c>
      <c r="I127" s="63">
        <f t="shared" si="14"/>
        <v>1050</v>
      </c>
      <c r="J127" s="85">
        <f t="shared" si="12"/>
        <v>1050</v>
      </c>
    </row>
    <row r="128" spans="1:10" ht="15.75" customHeight="1" x14ac:dyDescent="0.3">
      <c r="A128" s="110">
        <v>67</v>
      </c>
      <c r="B128" s="119" t="s">
        <v>51</v>
      </c>
      <c r="C128" s="31" t="s">
        <v>6</v>
      </c>
      <c r="D128" s="22"/>
      <c r="E128" s="22"/>
      <c r="F128" s="23"/>
      <c r="G128" s="59">
        <v>1600</v>
      </c>
      <c r="H128" s="53">
        <f t="shared" si="11"/>
        <v>80</v>
      </c>
      <c r="I128" s="63">
        <f t="shared" si="14"/>
        <v>1680</v>
      </c>
      <c r="J128" s="85">
        <f t="shared" si="12"/>
        <v>1680</v>
      </c>
    </row>
    <row r="129" spans="1:10" ht="29.4" thickBot="1" x14ac:dyDescent="0.35">
      <c r="A129" s="122">
        <v>68</v>
      </c>
      <c r="B129" s="120" t="s">
        <v>52</v>
      </c>
      <c r="C129" s="33" t="str">
        <f>'[1]Калькуляции '!D100</f>
        <v>1бачок</v>
      </c>
      <c r="D129" s="25">
        <f t="shared" si="15"/>
        <v>67.796800000000005</v>
      </c>
      <c r="E129" s="25">
        <f>F129*15.254%</f>
        <v>12.203200000000001</v>
      </c>
      <c r="F129" s="26">
        <f>'[1]Калькуляции '!R100+3</f>
        <v>80</v>
      </c>
      <c r="G129" s="60">
        <f>F129*$G$9</f>
        <v>200</v>
      </c>
      <c r="H129" s="89">
        <f t="shared" si="11"/>
        <v>10</v>
      </c>
      <c r="I129" s="90">
        <f t="shared" si="14"/>
        <v>210</v>
      </c>
      <c r="J129" s="136">
        <f t="shared" si="12"/>
        <v>210</v>
      </c>
    </row>
    <row r="130" spans="1:10" ht="20.399999999999999" customHeight="1" thickBot="1" x14ac:dyDescent="0.35">
      <c r="A130" s="137"/>
      <c r="B130" s="129"/>
      <c r="C130" s="130"/>
      <c r="D130" s="131"/>
      <c r="E130" s="131"/>
      <c r="F130" s="132"/>
      <c r="G130" s="133"/>
      <c r="H130" s="134"/>
      <c r="I130" s="135"/>
      <c r="J130" s="138"/>
    </row>
    <row r="131" spans="1:10" ht="37.799999999999997" customHeight="1" thickBot="1" x14ac:dyDescent="0.35">
      <c r="A131" s="126" t="s">
        <v>53</v>
      </c>
      <c r="B131" s="127"/>
      <c r="C131" s="127"/>
      <c r="D131" s="127"/>
      <c r="E131" s="127"/>
      <c r="F131" s="127"/>
      <c r="G131" s="127"/>
      <c r="H131" s="127"/>
      <c r="I131" s="127"/>
      <c r="J131" s="128"/>
    </row>
    <row r="132" spans="1:10" ht="27" customHeight="1" x14ac:dyDescent="0.3">
      <c r="A132" s="17">
        <v>69</v>
      </c>
      <c r="B132" s="34" t="str">
        <f>'[1]Калькуляции '!C103</f>
        <v>Установка прибора учёта со сваркой</v>
      </c>
      <c r="C132" s="35" t="str">
        <f>'[1]Калькуляции '!D103</f>
        <v>1 счётчик</v>
      </c>
      <c r="D132" s="19">
        <f t="shared" si="15"/>
        <v>771.18859999999995</v>
      </c>
      <c r="E132" s="19">
        <f t="shared" ref="E132:E149" si="16">F132*15.254%</f>
        <v>138.81140000000002</v>
      </c>
      <c r="F132" s="36">
        <f>'[1]Калькуляции '!R103-3</f>
        <v>910</v>
      </c>
      <c r="G132" s="54">
        <v>1820</v>
      </c>
      <c r="H132" s="76">
        <f t="shared" si="11"/>
        <v>91</v>
      </c>
      <c r="I132" s="77">
        <f t="shared" si="14"/>
        <v>1911</v>
      </c>
      <c r="J132" s="85">
        <f t="shared" si="12"/>
        <v>1910</v>
      </c>
    </row>
    <row r="133" spans="1:10" ht="24.75" customHeight="1" x14ac:dyDescent="0.3">
      <c r="A133" s="17">
        <v>70</v>
      </c>
      <c r="B133" s="14" t="str">
        <f>'[1]Калькуляции '!C104</f>
        <v>Установка прибора учёта без сварки</v>
      </c>
      <c r="C133" s="27" t="str">
        <f>'[1]Калькуляции '!D104</f>
        <v>1 счётчик</v>
      </c>
      <c r="D133" s="11">
        <f t="shared" si="15"/>
        <v>754.23939999999993</v>
      </c>
      <c r="E133" s="11">
        <f t="shared" si="16"/>
        <v>135.76060000000001</v>
      </c>
      <c r="F133" s="37">
        <f>'[1]Калькуляции '!R104</f>
        <v>890</v>
      </c>
      <c r="G133" s="55">
        <v>1480</v>
      </c>
      <c r="H133" s="53">
        <f t="shared" si="11"/>
        <v>74</v>
      </c>
      <c r="I133" s="63">
        <f t="shared" si="14"/>
        <v>1554</v>
      </c>
      <c r="J133" s="85">
        <f t="shared" si="12"/>
        <v>1550</v>
      </c>
    </row>
    <row r="134" spans="1:10" ht="25.2" customHeight="1" x14ac:dyDescent="0.3">
      <c r="A134" s="17">
        <v>71</v>
      </c>
      <c r="B134" s="14" t="s">
        <v>54</v>
      </c>
      <c r="C134" s="27" t="str">
        <f>'[1]Калькуляции '!D105</f>
        <v>1 блок</v>
      </c>
      <c r="D134" s="11">
        <f t="shared" si="15"/>
        <v>796.61239999999998</v>
      </c>
      <c r="E134" s="11">
        <f t="shared" si="16"/>
        <v>143.38760000000002</v>
      </c>
      <c r="F134" s="12">
        <f>'[1]Калькуляции '!R105-2</f>
        <v>940</v>
      </c>
      <c r="G134" s="56">
        <v>2600</v>
      </c>
      <c r="H134" s="53">
        <f t="shared" si="11"/>
        <v>130</v>
      </c>
      <c r="I134" s="63">
        <f t="shared" si="14"/>
        <v>2730</v>
      </c>
      <c r="J134" s="85">
        <f t="shared" si="12"/>
        <v>2730</v>
      </c>
    </row>
    <row r="135" spans="1:10" ht="32.4" customHeight="1" x14ac:dyDescent="0.3">
      <c r="A135" s="17">
        <v>72</v>
      </c>
      <c r="B135" s="14" t="s">
        <v>55</v>
      </c>
      <c r="C135" s="27" t="str">
        <f>'[1]Калькуляции '!D106</f>
        <v>1 блок</v>
      </c>
      <c r="D135" s="11">
        <f t="shared" si="15"/>
        <v>779.66319999999996</v>
      </c>
      <c r="E135" s="11">
        <f t="shared" si="16"/>
        <v>140.33680000000001</v>
      </c>
      <c r="F135" s="12">
        <f>'[1]Калькуляции '!R106+4</f>
        <v>920</v>
      </c>
      <c r="G135" s="55">
        <f>F135*$G$9</f>
        <v>2300</v>
      </c>
      <c r="H135" s="53">
        <f t="shared" si="11"/>
        <v>115</v>
      </c>
      <c r="I135" s="63">
        <f t="shared" si="14"/>
        <v>2415</v>
      </c>
      <c r="J135" s="85">
        <f t="shared" si="12"/>
        <v>2420</v>
      </c>
    </row>
    <row r="136" spans="1:10" ht="21.6" customHeight="1" x14ac:dyDescent="0.3">
      <c r="A136" s="17">
        <v>73</v>
      </c>
      <c r="B136" s="14" t="s">
        <v>56</v>
      </c>
      <c r="C136" s="27" t="s">
        <v>57</v>
      </c>
      <c r="D136" s="11">
        <f>F136-E136</f>
        <v>127.119</v>
      </c>
      <c r="E136" s="11">
        <f>F136*15.254%</f>
        <v>22.881</v>
      </c>
      <c r="F136" s="12">
        <v>150</v>
      </c>
      <c r="G136" s="55">
        <f>F136*$G$9+5+220</f>
        <v>600</v>
      </c>
      <c r="H136" s="53">
        <f t="shared" si="11"/>
        <v>30</v>
      </c>
      <c r="I136" s="63">
        <f t="shared" si="14"/>
        <v>630</v>
      </c>
      <c r="J136" s="85">
        <f t="shared" si="12"/>
        <v>630</v>
      </c>
    </row>
    <row r="137" spans="1:10" ht="28.2" customHeight="1" x14ac:dyDescent="0.3">
      <c r="A137" s="17">
        <v>74</v>
      </c>
      <c r="B137" s="14" t="s">
        <v>58</v>
      </c>
      <c r="C137" s="27" t="s">
        <v>6</v>
      </c>
      <c r="D137" s="11">
        <f t="shared" si="15"/>
        <v>1898.3103999999998</v>
      </c>
      <c r="E137" s="11">
        <f t="shared" si="16"/>
        <v>341.68960000000004</v>
      </c>
      <c r="F137" s="38">
        <f>'[1]Калькуляции '!R107-4</f>
        <v>2240</v>
      </c>
      <c r="G137" s="55">
        <v>1000</v>
      </c>
      <c r="H137" s="53">
        <f t="shared" si="11"/>
        <v>50</v>
      </c>
      <c r="I137" s="63">
        <f t="shared" si="14"/>
        <v>1050</v>
      </c>
      <c r="J137" s="85">
        <f t="shared" si="12"/>
        <v>1050</v>
      </c>
    </row>
    <row r="138" spans="1:10" ht="31.8" customHeight="1" x14ac:dyDescent="0.3">
      <c r="A138" s="17">
        <v>75</v>
      </c>
      <c r="B138" s="14" t="s">
        <v>59</v>
      </c>
      <c r="C138" s="27" t="s">
        <v>6</v>
      </c>
      <c r="D138" s="11">
        <f t="shared" si="15"/>
        <v>1974.5817999999999</v>
      </c>
      <c r="E138" s="11">
        <f t="shared" si="16"/>
        <v>355.41820000000001</v>
      </c>
      <c r="F138" s="38">
        <f>'[1]Калькуляции '!R108-4</f>
        <v>2330</v>
      </c>
      <c r="G138" s="55">
        <v>1200</v>
      </c>
      <c r="H138" s="53">
        <f t="shared" si="11"/>
        <v>60</v>
      </c>
      <c r="I138" s="63">
        <f t="shared" si="14"/>
        <v>1260</v>
      </c>
      <c r="J138" s="85">
        <f t="shared" si="12"/>
        <v>1260</v>
      </c>
    </row>
    <row r="139" spans="1:10" ht="27.6" customHeight="1" x14ac:dyDescent="0.3">
      <c r="A139" s="17">
        <v>76</v>
      </c>
      <c r="B139" s="14" t="s">
        <v>60</v>
      </c>
      <c r="C139" s="27" t="s">
        <v>6</v>
      </c>
      <c r="D139" s="11"/>
      <c r="E139" s="11"/>
      <c r="F139" s="38"/>
      <c r="G139" s="55">
        <v>750</v>
      </c>
      <c r="H139" s="53">
        <f t="shared" si="11"/>
        <v>37.5</v>
      </c>
      <c r="I139" s="63">
        <f t="shared" si="14"/>
        <v>787.5</v>
      </c>
      <c r="J139" s="85">
        <f t="shared" si="12"/>
        <v>790</v>
      </c>
    </row>
    <row r="140" spans="1:10" ht="27" customHeight="1" x14ac:dyDescent="0.3">
      <c r="A140" s="17">
        <v>77</v>
      </c>
      <c r="B140" s="14" t="s">
        <v>61</v>
      </c>
      <c r="C140" s="27" t="s">
        <v>6</v>
      </c>
      <c r="D140" s="11"/>
      <c r="E140" s="11"/>
      <c r="F140" s="38"/>
      <c r="G140" s="55">
        <v>1100</v>
      </c>
      <c r="H140" s="53">
        <f t="shared" si="11"/>
        <v>55</v>
      </c>
      <c r="I140" s="63">
        <f t="shared" si="14"/>
        <v>1155</v>
      </c>
      <c r="J140" s="85">
        <f t="shared" si="12"/>
        <v>1160</v>
      </c>
    </row>
    <row r="141" spans="1:10" ht="26.4" customHeight="1" x14ac:dyDescent="0.3">
      <c r="A141" s="17">
        <v>78</v>
      </c>
      <c r="B141" s="14" t="s">
        <v>62</v>
      </c>
      <c r="C141" s="27" t="s">
        <v>6</v>
      </c>
      <c r="D141" s="11"/>
      <c r="E141" s="11"/>
      <c r="F141" s="38"/>
      <c r="G141" s="55">
        <v>1500</v>
      </c>
      <c r="H141" s="53">
        <f t="shared" si="11"/>
        <v>75</v>
      </c>
      <c r="I141" s="63">
        <f t="shared" si="14"/>
        <v>1575</v>
      </c>
      <c r="J141" s="85">
        <f t="shared" si="12"/>
        <v>1580</v>
      </c>
    </row>
    <row r="142" spans="1:10" ht="19.8" customHeight="1" x14ac:dyDescent="0.3">
      <c r="A142" s="17">
        <v>79</v>
      </c>
      <c r="B142" s="14" t="str">
        <f>'[1]Калькуляции '!C109</f>
        <v>Ремонт полотенцесушителя</v>
      </c>
      <c r="C142" s="27" t="str">
        <f>'[1]Калькуляции '!D109</f>
        <v>1 полотенцес.</v>
      </c>
      <c r="D142" s="11">
        <f t="shared" si="15"/>
        <v>313.56020000000001</v>
      </c>
      <c r="E142" s="11">
        <f t="shared" si="16"/>
        <v>56.439800000000005</v>
      </c>
      <c r="F142" s="12">
        <f>'[1]Калькуляции '!R109-4</f>
        <v>370</v>
      </c>
      <c r="G142" s="55">
        <f>950+50</f>
        <v>1000</v>
      </c>
      <c r="H142" s="53">
        <f t="shared" si="11"/>
        <v>50</v>
      </c>
      <c r="I142" s="63">
        <f t="shared" si="14"/>
        <v>1050</v>
      </c>
      <c r="J142" s="85">
        <f t="shared" si="12"/>
        <v>1050</v>
      </c>
    </row>
    <row r="143" spans="1:10" ht="28.5" customHeight="1" x14ac:dyDescent="0.3">
      <c r="A143" s="17">
        <v>80</v>
      </c>
      <c r="B143" s="14" t="str">
        <f>'[1]Калькуляции '!C110</f>
        <v>Установка полотенцесушителя со сваркой</v>
      </c>
      <c r="C143" s="27" t="str">
        <f>'[1]Калькуляции '!D110</f>
        <v>1 полотенцес.</v>
      </c>
      <c r="D143" s="11">
        <f t="shared" si="15"/>
        <v>703.39179999999999</v>
      </c>
      <c r="E143" s="11">
        <f t="shared" si="16"/>
        <v>126.60820000000001</v>
      </c>
      <c r="F143" s="12">
        <f>'[1]Калькуляции '!R110</f>
        <v>830</v>
      </c>
      <c r="G143" s="55">
        <f>F143*$G$9+25</f>
        <v>2100</v>
      </c>
      <c r="H143" s="53">
        <f t="shared" ref="H143:H156" si="17">G143*5%</f>
        <v>105</v>
      </c>
      <c r="I143" s="63">
        <f t="shared" si="14"/>
        <v>2205</v>
      </c>
      <c r="J143" s="85">
        <f t="shared" ref="J143:J156" si="18">ROUND(I143,-1)</f>
        <v>2210</v>
      </c>
    </row>
    <row r="144" spans="1:10" ht="28.5" customHeight="1" x14ac:dyDescent="0.3">
      <c r="A144" s="17">
        <v>81</v>
      </c>
      <c r="B144" s="14" t="str">
        <f>'[1]Калькуляции '!C111</f>
        <v>Установка полотенцесушителя без сварки</v>
      </c>
      <c r="C144" s="27" t="str">
        <f>'[1]Калькуляции '!D111</f>
        <v>1 полотенцес.</v>
      </c>
      <c r="D144" s="11">
        <f t="shared" si="15"/>
        <v>432.20460000000003</v>
      </c>
      <c r="E144" s="11">
        <f t="shared" si="16"/>
        <v>77.795400000000001</v>
      </c>
      <c r="F144" s="12">
        <f>'[1]Калькуляции '!R111+2</f>
        <v>510</v>
      </c>
      <c r="G144" s="55">
        <f>F144*$G$9+25</f>
        <v>1300</v>
      </c>
      <c r="H144" s="53">
        <f t="shared" si="17"/>
        <v>65</v>
      </c>
      <c r="I144" s="63">
        <f t="shared" si="14"/>
        <v>1365</v>
      </c>
      <c r="J144" s="85">
        <f t="shared" si="18"/>
        <v>1370</v>
      </c>
    </row>
    <row r="145" spans="1:10" ht="20.399999999999999" customHeight="1" x14ac:dyDescent="0.3">
      <c r="A145" s="17">
        <v>82</v>
      </c>
      <c r="B145" s="14" t="str">
        <f>'[1]Калькуляции '!C113</f>
        <v>Замена прибора учёта</v>
      </c>
      <c r="C145" s="27" t="str">
        <f>'[1]Калькуляции '!D113</f>
        <v>1 счётчик</v>
      </c>
      <c r="D145" s="11">
        <f>F145-E145</f>
        <v>169.49199999999999</v>
      </c>
      <c r="E145" s="11">
        <f>F145*15.254%</f>
        <v>30.508000000000003</v>
      </c>
      <c r="F145" s="12">
        <f>'[1]Калькуляции '!R113</f>
        <v>200</v>
      </c>
      <c r="G145" s="55">
        <f>F145*$G$9</f>
        <v>500</v>
      </c>
      <c r="H145" s="53">
        <f t="shared" si="17"/>
        <v>25</v>
      </c>
      <c r="I145" s="63">
        <f t="shared" si="14"/>
        <v>525</v>
      </c>
      <c r="J145" s="85">
        <f t="shared" si="18"/>
        <v>530</v>
      </c>
    </row>
    <row r="146" spans="1:10" ht="46.2" customHeight="1" x14ac:dyDescent="0.3">
      <c r="A146" s="17">
        <v>83</v>
      </c>
      <c r="B146" s="14" t="s">
        <v>63</v>
      </c>
      <c r="C146" s="27" t="str">
        <f>'[1]Калькуляции '!D114</f>
        <v>1квартира</v>
      </c>
      <c r="D146" s="11">
        <f>F146-E146</f>
        <v>2118.65</v>
      </c>
      <c r="E146" s="11">
        <f>F146*15.254%</f>
        <v>381.35</v>
      </c>
      <c r="F146" s="12">
        <v>2500</v>
      </c>
      <c r="G146" s="55">
        <v>4000</v>
      </c>
      <c r="H146" s="53">
        <f t="shared" si="17"/>
        <v>200</v>
      </c>
      <c r="I146" s="63">
        <f t="shared" si="14"/>
        <v>4200</v>
      </c>
      <c r="J146" s="85">
        <f t="shared" si="18"/>
        <v>4200</v>
      </c>
    </row>
    <row r="147" spans="1:10" ht="46.2" customHeight="1" x14ac:dyDescent="0.3">
      <c r="A147" s="17">
        <v>84</v>
      </c>
      <c r="B147" s="14" t="s">
        <v>64</v>
      </c>
      <c r="C147" s="27" t="str">
        <f>'[1]Калькуляции '!D115</f>
        <v>1квартира</v>
      </c>
      <c r="D147" s="11"/>
      <c r="E147" s="11"/>
      <c r="F147" s="12"/>
      <c r="G147" s="55">
        <v>4000</v>
      </c>
      <c r="H147" s="53">
        <f t="shared" si="17"/>
        <v>200</v>
      </c>
      <c r="I147" s="63">
        <f t="shared" si="14"/>
        <v>4200</v>
      </c>
      <c r="J147" s="85">
        <f t="shared" si="18"/>
        <v>4200</v>
      </c>
    </row>
    <row r="148" spans="1:10" ht="42" customHeight="1" x14ac:dyDescent="0.3">
      <c r="A148" s="17">
        <v>85</v>
      </c>
      <c r="B148" s="14" t="str">
        <f>'[1]Калькуляции '!C116</f>
        <v>Демонтаж питающей линии и монтаж вводного кабеля от автомата до распределительной коробки</v>
      </c>
      <c r="C148" s="27" t="str">
        <f>'[1]Калькуляции '!D116</f>
        <v>1квартира</v>
      </c>
      <c r="D148" s="11">
        <f t="shared" si="15"/>
        <v>822.03620000000001</v>
      </c>
      <c r="E148" s="11">
        <f t="shared" si="16"/>
        <v>147.96380000000002</v>
      </c>
      <c r="F148" s="12">
        <f>'[1]Калькуляции '!R116-2.48</f>
        <v>970</v>
      </c>
      <c r="G148" s="55">
        <v>2000</v>
      </c>
      <c r="H148" s="53">
        <f t="shared" si="17"/>
        <v>100</v>
      </c>
      <c r="I148" s="63">
        <f t="shared" si="14"/>
        <v>2100</v>
      </c>
      <c r="J148" s="85">
        <f t="shared" si="18"/>
        <v>2100</v>
      </c>
    </row>
    <row r="149" spans="1:10" ht="24.6" customHeight="1" thickBot="1" x14ac:dyDescent="0.35">
      <c r="A149" s="123">
        <v>86</v>
      </c>
      <c r="B149" s="21" t="str">
        <f>'[1]Калькуляции '!C117</f>
        <v>Замена внутриквартирной канализации</v>
      </c>
      <c r="C149" s="124" t="str">
        <f>'[1]Калькуляции '!D117</f>
        <v>1квартира</v>
      </c>
      <c r="D149" s="22">
        <f t="shared" si="15"/>
        <v>1669.4962</v>
      </c>
      <c r="E149" s="22">
        <f t="shared" si="16"/>
        <v>300.50380000000001</v>
      </c>
      <c r="F149" s="23">
        <f>'[1]Калькуляции '!R117-1.6</f>
        <v>1970</v>
      </c>
      <c r="G149" s="59">
        <v>5000</v>
      </c>
      <c r="H149" s="74">
        <f t="shared" si="17"/>
        <v>250</v>
      </c>
      <c r="I149" s="75">
        <f t="shared" si="14"/>
        <v>5250</v>
      </c>
      <c r="J149" s="86">
        <f t="shared" si="18"/>
        <v>5250</v>
      </c>
    </row>
    <row r="150" spans="1:10" ht="27" customHeight="1" thickBot="1" x14ac:dyDescent="0.35">
      <c r="A150" s="104" t="s">
        <v>80</v>
      </c>
      <c r="B150" s="105"/>
      <c r="C150" s="105"/>
      <c r="D150" s="105"/>
      <c r="E150" s="105"/>
      <c r="F150" s="105"/>
      <c r="G150" s="105"/>
      <c r="H150" s="105"/>
      <c r="I150" s="105"/>
      <c r="J150" s="109"/>
    </row>
    <row r="151" spans="1:10" ht="37.200000000000003" customHeight="1" x14ac:dyDescent="0.3">
      <c r="A151" s="17">
        <v>87</v>
      </c>
      <c r="B151" s="34" t="s">
        <v>65</v>
      </c>
      <c r="C151" s="35" t="s">
        <v>66</v>
      </c>
      <c r="D151" s="125">
        <f>F151-E151</f>
        <v>169.49199999999999</v>
      </c>
      <c r="E151" s="125">
        <f>F151*15.254%</f>
        <v>30.508000000000003</v>
      </c>
      <c r="F151" s="125">
        <v>200</v>
      </c>
      <c r="G151" s="54">
        <f>F151*$G$9</f>
        <v>500</v>
      </c>
      <c r="H151" s="76">
        <f t="shared" si="17"/>
        <v>25</v>
      </c>
      <c r="I151" s="77">
        <f t="shared" si="14"/>
        <v>525</v>
      </c>
      <c r="J151" s="85">
        <f t="shared" si="18"/>
        <v>530</v>
      </c>
    </row>
    <row r="152" spans="1:10" ht="31.8" customHeight="1" x14ac:dyDescent="0.3">
      <c r="A152" s="7">
        <v>88</v>
      </c>
      <c r="B152" s="14" t="s">
        <v>67</v>
      </c>
      <c r="C152" s="27"/>
      <c r="D152" s="28"/>
      <c r="E152" s="28"/>
      <c r="F152" s="28">
        <v>250</v>
      </c>
      <c r="G152" s="55">
        <f>F152*$G$9</f>
        <v>625</v>
      </c>
      <c r="H152" s="53">
        <f t="shared" si="17"/>
        <v>31.25</v>
      </c>
      <c r="I152" s="63">
        <f t="shared" si="14"/>
        <v>656.25</v>
      </c>
      <c r="J152" s="85">
        <f t="shared" si="18"/>
        <v>660</v>
      </c>
    </row>
    <row r="153" spans="1:10" ht="15.75" hidden="1" customHeight="1" x14ac:dyDescent="0.3">
      <c r="A153" s="40">
        <v>89</v>
      </c>
      <c r="B153" s="41" t="s">
        <v>68</v>
      </c>
      <c r="C153" s="42"/>
      <c r="D153" s="92" t="s">
        <v>69</v>
      </c>
      <c r="E153" s="92"/>
      <c r="F153" s="92"/>
      <c r="G153" s="62"/>
      <c r="H153" s="53">
        <f t="shared" si="17"/>
        <v>0</v>
      </c>
      <c r="I153" s="63">
        <f t="shared" si="14"/>
        <v>0</v>
      </c>
      <c r="J153" s="85">
        <f t="shared" si="18"/>
        <v>0</v>
      </c>
    </row>
    <row r="154" spans="1:10" ht="34.200000000000003" customHeight="1" x14ac:dyDescent="0.3">
      <c r="A154" s="7">
        <v>89</v>
      </c>
      <c r="B154" s="14" t="s">
        <v>70</v>
      </c>
      <c r="C154" s="27"/>
      <c r="D154" s="28"/>
      <c r="E154" s="28"/>
      <c r="F154" s="28">
        <v>250</v>
      </c>
      <c r="G154" s="55">
        <v>500</v>
      </c>
      <c r="H154" s="53">
        <f t="shared" si="17"/>
        <v>25</v>
      </c>
      <c r="I154" s="63">
        <f t="shared" si="14"/>
        <v>525</v>
      </c>
      <c r="J154" s="85">
        <f t="shared" si="18"/>
        <v>530</v>
      </c>
    </row>
    <row r="155" spans="1:10" ht="24.6" customHeight="1" x14ac:dyDescent="0.3">
      <c r="A155" s="17">
        <v>90</v>
      </c>
      <c r="B155" s="14" t="s">
        <v>71</v>
      </c>
      <c r="C155" s="27"/>
      <c r="D155" s="28"/>
      <c r="E155" s="28"/>
      <c r="F155" s="28"/>
      <c r="G155" s="55">
        <v>300</v>
      </c>
      <c r="H155" s="53">
        <f t="shared" si="17"/>
        <v>15</v>
      </c>
      <c r="I155" s="63">
        <f t="shared" si="14"/>
        <v>315</v>
      </c>
      <c r="J155" s="85">
        <f t="shared" si="18"/>
        <v>320</v>
      </c>
    </row>
    <row r="156" spans="1:10" ht="61.8" customHeight="1" thickBot="1" x14ac:dyDescent="0.35">
      <c r="A156" s="87">
        <v>91</v>
      </c>
      <c r="B156" s="32" t="s">
        <v>72</v>
      </c>
      <c r="C156" s="39" t="s">
        <v>73</v>
      </c>
      <c r="D156" s="88"/>
      <c r="E156" s="88"/>
      <c r="F156" s="88"/>
      <c r="G156" s="60">
        <v>600</v>
      </c>
      <c r="H156" s="89">
        <f t="shared" si="17"/>
        <v>30</v>
      </c>
      <c r="I156" s="90">
        <f t="shared" si="14"/>
        <v>630</v>
      </c>
      <c r="J156" s="91">
        <f t="shared" si="18"/>
        <v>630</v>
      </c>
    </row>
    <row r="157" spans="1:10" ht="40.200000000000003" customHeight="1" x14ac:dyDescent="0.3">
      <c r="A157" s="44"/>
      <c r="B157" s="45"/>
      <c r="C157" s="44"/>
      <c r="D157" s="46"/>
      <c r="E157" s="46"/>
      <c r="F157" s="46"/>
      <c r="G157" s="46"/>
    </row>
    <row r="158" spans="1:10" x14ac:dyDescent="0.3">
      <c r="B158" s="47" t="s">
        <v>74</v>
      </c>
      <c r="C158" s="48"/>
      <c r="D158" s="93" t="s">
        <v>75</v>
      </c>
      <c r="E158" s="93"/>
      <c r="F158" s="93"/>
      <c r="G158" s="2" t="s">
        <v>76</v>
      </c>
    </row>
    <row r="159" spans="1:10" ht="15.6" x14ac:dyDescent="0.3">
      <c r="D159" s="49"/>
      <c r="E159" s="49"/>
      <c r="F159" s="49"/>
    </row>
  </sheetData>
  <mergeCells count="13">
    <mergeCell ref="C1:F1"/>
    <mergeCell ref="A12:G12"/>
    <mergeCell ref="A150:J150"/>
    <mergeCell ref="A131:J131"/>
    <mergeCell ref="D153:F153"/>
    <mergeCell ref="D158:F158"/>
    <mergeCell ref="A5:J5"/>
    <mergeCell ref="A6:J6"/>
    <mergeCell ref="A7:J7"/>
    <mergeCell ref="A120:J120"/>
    <mergeCell ref="A37:J37"/>
    <mergeCell ref="A75:F75"/>
    <mergeCell ref="A87:F87"/>
  </mergeCells>
  <pageMargins left="0.70866141732283472" right="0.70866141732283472" top="0.39370078740157483" bottom="0.59055118110236227" header="0.31496062992125984" footer="0.31496062992125984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VUK-Economist</dc:creator>
  <cp:lastModifiedBy>VUK-Economist</cp:lastModifiedBy>
  <cp:lastPrinted>2025-01-15T12:51:14Z</cp:lastPrinted>
  <dcterms:created xsi:type="dcterms:W3CDTF">2025-01-15T07:33:24Z</dcterms:created>
  <dcterms:modified xsi:type="dcterms:W3CDTF">2025-01-15T12:56:06Z</dcterms:modified>
</cp:coreProperties>
</file>